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Clases y Presentaciones 2023\Bolsar\"/>
    </mc:Choice>
  </mc:AlternateContent>
  <xr:revisionPtr revIDLastSave="0" documentId="13_ncr:1_{70168F84-3F9C-4F2E-A282-4EB0595D5F4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urva de rendimientos" sheetId="16" r:id="rId1"/>
    <sheet name="TX24" sheetId="20" r:id="rId2"/>
    <sheet name="T2X4" sheetId="29" r:id="rId3"/>
    <sheet name="T3X4" sheetId="34" r:id="rId4"/>
    <sheet name="T4X4" sheetId="31" r:id="rId5"/>
    <sheet name="T2X5" sheetId="32" r:id="rId6"/>
    <sheet name="TX26" sheetId="21" r:id="rId7"/>
    <sheet name="TX28" sheetId="26" r:id="rId8"/>
  </sheets>
  <externalReferences>
    <externalReference r:id="rId9"/>
    <externalReference r:id="rId10"/>
  </externalReferences>
  <definedNames>
    <definedName name="_Order1" hidden="1">255</definedName>
    <definedName name="_Order2" hidden="1">255</definedName>
    <definedName name="a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ACwvu.PLA1." localSheetId="3" hidden="1">'[1]COP FED'!#REF!</definedName>
    <definedName name="ACwvu.PLA1." hidden="1">'[1]COP FED'!#REF!</definedName>
    <definedName name="ACwvu.PLA2." hidden="1">'[1]COP FED'!$A$1:$N$49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s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" localSheetId="3" hidden="1">#REF!</definedName>
    <definedName name="d" hidden="1">#REF!</definedName>
    <definedName name="FAS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j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m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Rwvu.PLA2." localSheetId="3" hidden="1">'[1]COP FED'!#REF!</definedName>
    <definedName name="Rwvu.PLA2." hidden="1">'[1]COP FED'!#REF!</definedName>
    <definedName name="Swvu.PLA1." localSheetId="3" hidden="1">'[1]COP FED'!#REF!</definedName>
    <definedName name="Swvu.PLA1." hidden="1">'[1]COP FED'!#REF!</definedName>
    <definedName name="Swvu.PLA2." hidden="1">'[1]COP FED'!$A$1:$N$49</definedName>
    <definedName name="wrn.BMA." hidden="1">{"3",#N/A,FALSE,"BASE MONETARIA";"4",#N/A,FALSE,"BASE MONETARIA"}</definedName>
    <definedName name="wrn.PASMON." hidden="1">{"1",#N/A,FALSE,"Pasivos Mon";"2",#N/A,FALSE,"Pasivos Mon"}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Z_0C2BA18A_21C0_43A0_BA72_AEF5075BA836_.wvu.Cols" hidden="1">'[2]Prog. Fin.'!$E:$E,'[2]Prog. Fin.'!$I:$J,'[2]Prog. Fin.'!$N:$N,'[2]Prog. Fin.'!$R:$S</definedName>
    <definedName name="Z_0C2BA18A_21C0_43A0_BA72_AEF5075BA836_.wvu.Rows" hidden="1">'[2]Prog. Fin.'!$9:$14,'[2]Prog. Fin.'!$17:$26,'[2]Prog. Fin.'!$31:$33,'[2]Prog. Fin.'!$40:$41,'[2]Prog. Fin.'!$44:$46,'[2]Prog. Fin.'!$81:$83,'[2]Prog. Fin.'!$157:$159</definedName>
    <definedName name="Z_AB0CFEEA_4F19_4F6A_9BEA_953016B5C36F_.wvu.Cols" hidden="1">'[2]Prog. Fin.'!$E:$E,'[2]Prog. Fin.'!$I:$J,'[2]Prog. Fin.'!$N:$N,'[2]Prog. Fin.'!$R:$S</definedName>
    <definedName name="Z_AB0CFEEA_4F19_4F6A_9BEA_953016B5C36F_.wvu.Rows" hidden="1">'[2]Prog. Fin.'!$9:$14,'[2]Prog. Fin.'!$17:$26,'[2]Prog. Fin.'!$31:$33,'[2]Prog. Fin.'!$40:$41,'[2]Prog. Fin.'!$44:$46,'[2]Prog. Fin.'!$81:$83,'[2]Prog. Fin.'!$157:$159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34" l="1"/>
  <c r="C8" i="34"/>
  <c r="C9" i="34" s="1"/>
  <c r="E4" i="34" s="1"/>
  <c r="C4" i="34"/>
  <c r="N3" i="34"/>
  <c r="C2" i="34"/>
  <c r="D4" i="34" l="1"/>
  <c r="F4" i="34" s="1"/>
  <c r="B4" i="34"/>
  <c r="D3" i="34"/>
  <c r="B3" i="34"/>
  <c r="C9" i="31"/>
  <c r="C10" i="31" s="1"/>
  <c r="E5" i="31" s="1"/>
  <c r="N3" i="32"/>
  <c r="F2" i="32" s="1"/>
  <c r="C2" i="32"/>
  <c r="N3" i="31"/>
  <c r="F2" i="31" s="1"/>
  <c r="C4" i="31"/>
  <c r="C2" i="31"/>
  <c r="B3" i="31" s="1"/>
  <c r="C4" i="21"/>
  <c r="D3" i="26"/>
  <c r="D3" i="21"/>
  <c r="Q4" i="34" l="1"/>
  <c r="Q5" i="34" s="1"/>
  <c r="Q6" i="34" s="1"/>
  <c r="E4" i="16" s="1"/>
  <c r="D4" i="16" s="1"/>
  <c r="F3" i="34"/>
  <c r="C9" i="32"/>
  <c r="C10" i="32" s="1"/>
  <c r="B3" i="32"/>
  <c r="C4" i="32"/>
  <c r="D4" i="31"/>
  <c r="F4" i="31" s="1"/>
  <c r="B4" i="31"/>
  <c r="D3" i="31"/>
  <c r="C5" i="31"/>
  <c r="B5" i="31" s="1"/>
  <c r="Q3" i="21"/>
  <c r="F5" i="34" l="1"/>
  <c r="O4" i="34"/>
  <c r="D3" i="32"/>
  <c r="E5" i="32"/>
  <c r="C5" i="32"/>
  <c r="B5" i="32" s="1"/>
  <c r="B4" i="32"/>
  <c r="D4" i="32"/>
  <c r="F4" i="32" s="1"/>
  <c r="Q4" i="31"/>
  <c r="Q5" i="31" s="1"/>
  <c r="F3" i="31"/>
  <c r="D5" i="31"/>
  <c r="F5" i="31" s="1"/>
  <c r="N3" i="29"/>
  <c r="F2" i="29"/>
  <c r="C8" i="29"/>
  <c r="C9" i="29" s="1"/>
  <c r="D3" i="29" s="1"/>
  <c r="C2" i="29"/>
  <c r="N4" i="34" l="1"/>
  <c r="J4" i="16" s="1"/>
  <c r="G4" i="34"/>
  <c r="K4" i="34"/>
  <c r="K3" i="34"/>
  <c r="G3" i="34"/>
  <c r="F3" i="32"/>
  <c r="Q4" i="32"/>
  <c r="Q5" i="32" s="1"/>
  <c r="Q6" i="32" s="1"/>
  <c r="E6" i="16" s="1"/>
  <c r="D5" i="32"/>
  <c r="F5" i="32" s="1"/>
  <c r="Q4" i="29"/>
  <c r="Q5" i="29" s="1"/>
  <c r="Q6" i="29" s="1"/>
  <c r="E3" i="16" s="1"/>
  <c r="D3" i="16" s="1"/>
  <c r="Q6" i="31"/>
  <c r="E5" i="16" s="1"/>
  <c r="D5" i="16"/>
  <c r="F6" i="31"/>
  <c r="K4" i="31" s="1"/>
  <c r="O4" i="31"/>
  <c r="G3" i="31" s="1"/>
  <c r="E4" i="29"/>
  <c r="K5" i="34" l="1"/>
  <c r="N8" i="34" s="1"/>
  <c r="F4" i="16" s="1"/>
  <c r="J3" i="34"/>
  <c r="G5" i="34"/>
  <c r="H4" i="34" s="1"/>
  <c r="I4" i="34" s="1"/>
  <c r="J4" i="34"/>
  <c r="D6" i="16"/>
  <c r="O4" i="32"/>
  <c r="F6" i="32"/>
  <c r="K5" i="31"/>
  <c r="K3" i="31"/>
  <c r="J3" i="31"/>
  <c r="G5" i="31"/>
  <c r="N4" i="31"/>
  <c r="J5" i="16" s="1"/>
  <c r="G4" i="31"/>
  <c r="J5" i="34" l="1"/>
  <c r="N7" i="34" s="1"/>
  <c r="I4" i="16" s="1"/>
  <c r="H3" i="34"/>
  <c r="G4" i="32"/>
  <c r="J4" i="32" s="1"/>
  <c r="K3" i="32"/>
  <c r="N4" i="32"/>
  <c r="J6" i="16" s="1"/>
  <c r="G5" i="32"/>
  <c r="J5" i="32" s="1"/>
  <c r="G3" i="32"/>
  <c r="J3" i="32" s="1"/>
  <c r="K4" i="32"/>
  <c r="K5" i="32"/>
  <c r="K6" i="31"/>
  <c r="N8" i="31" s="1"/>
  <c r="F5" i="16" s="1"/>
  <c r="J5" i="31"/>
  <c r="J4" i="31"/>
  <c r="G6" i="31"/>
  <c r="H3" i="31" s="1"/>
  <c r="B3" i="29"/>
  <c r="C4" i="29"/>
  <c r="B4" i="29" s="1"/>
  <c r="F3" i="29"/>
  <c r="I3" i="34" l="1"/>
  <c r="I5" i="34" s="1"/>
  <c r="N5" i="34" s="1"/>
  <c r="H5" i="34"/>
  <c r="J6" i="32"/>
  <c r="N7" i="32" s="1"/>
  <c r="I6" i="16" s="1"/>
  <c r="K6" i="32"/>
  <c r="N8" i="32" s="1"/>
  <c r="F6" i="16" s="1"/>
  <c r="G6" i="32"/>
  <c r="J6" i="31"/>
  <c r="N7" i="31" s="1"/>
  <c r="I5" i="16" s="1"/>
  <c r="H5" i="31"/>
  <c r="I5" i="31" s="1"/>
  <c r="I3" i="31"/>
  <c r="H4" i="31"/>
  <c r="I4" i="31" s="1"/>
  <c r="D4" i="29"/>
  <c r="F4" i="29" s="1"/>
  <c r="F5" i="29" s="1"/>
  <c r="N6" i="34" l="1"/>
  <c r="G4" i="16" s="1"/>
  <c r="H4" i="16"/>
  <c r="H3" i="32"/>
  <c r="I3" i="32" s="1"/>
  <c r="H4" i="32"/>
  <c r="I4" i="32" s="1"/>
  <c r="H5" i="32"/>
  <c r="I5" i="32" s="1"/>
  <c r="H6" i="31"/>
  <c r="I6" i="31"/>
  <c r="N5" i="31" s="1"/>
  <c r="O4" i="29"/>
  <c r="I6" i="32" l="1"/>
  <c r="N5" i="32" s="1"/>
  <c r="H6" i="16" s="1"/>
  <c r="H6" i="32"/>
  <c r="N6" i="31"/>
  <c r="G5" i="16" s="1"/>
  <c r="H5" i="16"/>
  <c r="G3" i="29"/>
  <c r="J3" i="29" s="1"/>
  <c r="N4" i="29"/>
  <c r="J3" i="16" s="1"/>
  <c r="G4" i="29"/>
  <c r="J4" i="29" s="1"/>
  <c r="K3" i="29"/>
  <c r="K4" i="29"/>
  <c r="N6" i="32" l="1"/>
  <c r="G6" i="16" s="1"/>
  <c r="K5" i="29"/>
  <c r="N8" i="29" s="1"/>
  <c r="G5" i="29"/>
  <c r="J5" i="29"/>
  <c r="F3" i="16" l="1"/>
  <c r="N7" i="29"/>
  <c r="H4" i="29"/>
  <c r="I4" i="29" s="1"/>
  <c r="H3" i="29"/>
  <c r="I3" i="29" s="1"/>
  <c r="I3" i="16" l="1"/>
  <c r="H5" i="29"/>
  <c r="I5" i="29"/>
  <c r="N5" i="29" l="1"/>
  <c r="H3" i="16" l="1"/>
  <c r="N6" i="29"/>
  <c r="N3" i="26"/>
  <c r="G3" i="16" l="1"/>
  <c r="C2" i="26"/>
  <c r="C2" i="21"/>
  <c r="C2" i="20"/>
  <c r="F2" i="26" l="1"/>
  <c r="F2" i="21"/>
  <c r="B18" i="26"/>
  <c r="B19" i="26" s="1"/>
  <c r="C4" i="26" l="1"/>
  <c r="E10" i="26"/>
  <c r="E9" i="26"/>
  <c r="E8" i="26"/>
  <c r="E11" i="26"/>
  <c r="E7" i="26"/>
  <c r="E13" i="26"/>
  <c r="E12" i="26"/>
  <c r="E6" i="26"/>
  <c r="E15" i="26"/>
  <c r="E14" i="26"/>
  <c r="C5" i="26" l="1"/>
  <c r="C6" i="26" s="1"/>
  <c r="C7" i="26" s="1"/>
  <c r="C8" i="26" s="1"/>
  <c r="C9" i="26" s="1"/>
  <c r="C10" i="26" s="1"/>
  <c r="C11" i="26" s="1"/>
  <c r="C12" i="26" s="1"/>
  <c r="C13" i="26" s="1"/>
  <c r="C14" i="26" s="1"/>
  <c r="C15" i="26" s="1"/>
  <c r="B15" i="26" s="1"/>
  <c r="Q3" i="26"/>
  <c r="D4" i="26"/>
  <c r="B8" i="26"/>
  <c r="B6" i="26"/>
  <c r="B14" i="26"/>
  <c r="B10" i="26"/>
  <c r="B7" i="26"/>
  <c r="D6" i="26"/>
  <c r="F6" i="26" s="1"/>
  <c r="B11" i="26"/>
  <c r="D5" i="26"/>
  <c r="B12" i="26"/>
  <c r="B9" i="26"/>
  <c r="B13" i="26"/>
  <c r="F3" i="26"/>
  <c r="D10" i="26"/>
  <c r="F10" i="26" s="1"/>
  <c r="D12" i="26"/>
  <c r="F12" i="26" s="1"/>
  <c r="D9" i="26"/>
  <c r="F9" i="26" s="1"/>
  <c r="D11" i="26"/>
  <c r="F11" i="26" s="1"/>
  <c r="D13" i="26"/>
  <c r="F13" i="26" s="1"/>
  <c r="D14" i="26"/>
  <c r="F14" i="26" s="1"/>
  <c r="D15" i="26"/>
  <c r="F15" i="26" s="1"/>
  <c r="D8" i="26"/>
  <c r="F8" i="26" s="1"/>
  <c r="D7" i="26"/>
  <c r="F7" i="26" s="1"/>
  <c r="B3" i="26"/>
  <c r="F5" i="26" l="1"/>
  <c r="Q4" i="26"/>
  <c r="Q5" i="26" s="1"/>
  <c r="Q6" i="26" s="1"/>
  <c r="E8" i="16" s="1"/>
  <c r="D8" i="16" s="1"/>
  <c r="F4" i="26"/>
  <c r="B4" i="26"/>
  <c r="N3" i="21"/>
  <c r="C5" i="21"/>
  <c r="C6" i="21" s="1"/>
  <c r="C7" i="21" s="1"/>
  <c r="C8" i="21" s="1"/>
  <c r="C9" i="21" s="1"/>
  <c r="C10" i="21" s="1"/>
  <c r="C11" i="21" s="1"/>
  <c r="B14" i="21"/>
  <c r="B15" i="21" s="1"/>
  <c r="D4" i="21" s="1"/>
  <c r="N3" i="20"/>
  <c r="F2" i="20"/>
  <c r="C7" i="20"/>
  <c r="C8" i="20" s="1"/>
  <c r="D3" i="20" s="1"/>
  <c r="Q4" i="20" s="1"/>
  <c r="F16" i="26" l="1"/>
  <c r="K13" i="26" s="1"/>
  <c r="C4" i="20"/>
  <c r="E4" i="20"/>
  <c r="E10" i="21"/>
  <c r="B5" i="26"/>
  <c r="E9" i="21"/>
  <c r="E8" i="21"/>
  <c r="D6" i="21"/>
  <c r="F6" i="21" s="1"/>
  <c r="D5" i="21"/>
  <c r="E7" i="21"/>
  <c r="D8" i="21" s="1"/>
  <c r="E11" i="21"/>
  <c r="D7" i="21"/>
  <c r="B9" i="21"/>
  <c r="B8" i="21"/>
  <c r="B7" i="21"/>
  <c r="B6" i="21"/>
  <c r="B5" i="21"/>
  <c r="B4" i="21"/>
  <c r="B11" i="21"/>
  <c r="B3" i="21"/>
  <c r="B10" i="21"/>
  <c r="K9" i="26" l="1"/>
  <c r="K10" i="26"/>
  <c r="K15" i="26"/>
  <c r="K7" i="26"/>
  <c r="K8" i="26"/>
  <c r="K5" i="26"/>
  <c r="K12" i="26"/>
  <c r="K3" i="26"/>
  <c r="K4" i="26"/>
  <c r="K11" i="26"/>
  <c r="K14" i="26"/>
  <c r="K6" i="26"/>
  <c r="B4" i="20"/>
  <c r="D4" i="20"/>
  <c r="F4" i="20" s="1"/>
  <c r="F5" i="21"/>
  <c r="Q4" i="21"/>
  <c r="F3" i="21"/>
  <c r="Q5" i="20"/>
  <c r="Q6" i="20" s="1"/>
  <c r="E2" i="16" s="1"/>
  <c r="F3" i="20"/>
  <c r="B3" i="20"/>
  <c r="F8" i="21"/>
  <c r="D10" i="21"/>
  <c r="F10" i="21" s="1"/>
  <c r="D9" i="21"/>
  <c r="F9" i="21" s="1"/>
  <c r="F7" i="21"/>
  <c r="D11" i="21"/>
  <c r="F11" i="21" s="1"/>
  <c r="F5" i="20" l="1"/>
  <c r="O4" i="20"/>
  <c r="K3" i="20" l="1"/>
  <c r="K4" i="20"/>
  <c r="G4" i="20"/>
  <c r="J4" i="20" s="1"/>
  <c r="G3" i="20"/>
  <c r="J3" i="20" s="1"/>
  <c r="N4" i="20"/>
  <c r="J2" i="16" s="1"/>
  <c r="K5" i="20" l="1"/>
  <c r="N8" i="20" s="1"/>
  <c r="F2" i="16" s="1"/>
  <c r="J5" i="20"/>
  <c r="G5" i="20"/>
  <c r="H3" i="20" l="1"/>
  <c r="I3" i="20" s="1"/>
  <c r="H4" i="20"/>
  <c r="I4" i="20" s="1"/>
  <c r="N7" i="20"/>
  <c r="I2" i="16" s="1"/>
  <c r="H5" i="20" l="1"/>
  <c r="I5" i="20" l="1"/>
  <c r="N5" i="20" s="1"/>
  <c r="N6" i="20" l="1"/>
  <c r="G2" i="16" s="1"/>
  <c r="H2" i="16"/>
  <c r="O4" i="26"/>
  <c r="G4" i="26" l="1"/>
  <c r="J4" i="26" s="1"/>
  <c r="G12" i="26"/>
  <c r="J12" i="26" s="1"/>
  <c r="G8" i="26"/>
  <c r="J8" i="26" s="1"/>
  <c r="G5" i="26"/>
  <c r="J5" i="26" s="1"/>
  <c r="G13" i="26"/>
  <c r="J13" i="26" s="1"/>
  <c r="G7" i="26"/>
  <c r="J7" i="26" s="1"/>
  <c r="G10" i="26"/>
  <c r="J10" i="26" s="1"/>
  <c r="G3" i="26"/>
  <c r="J3" i="26" s="1"/>
  <c r="G11" i="26"/>
  <c r="J11" i="26" s="1"/>
  <c r="G6" i="26"/>
  <c r="J6" i="26" s="1"/>
  <c r="G14" i="26"/>
  <c r="J14" i="26" s="1"/>
  <c r="G15" i="26"/>
  <c r="J15" i="26" s="1"/>
  <c r="G9" i="26"/>
  <c r="J9" i="26" s="1"/>
  <c r="N4" i="26"/>
  <c r="J8" i="16" s="1"/>
  <c r="K16" i="26"/>
  <c r="N8" i="26" s="1"/>
  <c r="D2" i="16"/>
  <c r="F8" i="16" l="1"/>
  <c r="G16" i="26"/>
  <c r="J16" i="26"/>
  <c r="N7" i="26" s="1"/>
  <c r="I8" i="16" s="1"/>
  <c r="H7" i="26" l="1"/>
  <c r="I7" i="26" s="1"/>
  <c r="H9" i="26"/>
  <c r="I9" i="26" s="1"/>
  <c r="H14" i="26"/>
  <c r="I14" i="26" s="1"/>
  <c r="H11" i="26"/>
  <c r="I11" i="26" s="1"/>
  <c r="H12" i="26"/>
  <c r="I12" i="26" s="1"/>
  <c r="H13" i="26"/>
  <c r="I13" i="26" s="1"/>
  <c r="H8" i="26"/>
  <c r="I8" i="26" s="1"/>
  <c r="H10" i="26"/>
  <c r="I10" i="26" s="1"/>
  <c r="H15" i="26"/>
  <c r="I15" i="26" s="1"/>
  <c r="H6" i="26"/>
  <c r="I6" i="26" s="1"/>
  <c r="H3" i="26"/>
  <c r="I3" i="26" s="1"/>
  <c r="H5" i="26"/>
  <c r="I5" i="26" s="1"/>
  <c r="H4" i="26"/>
  <c r="I4" i="26" s="1"/>
  <c r="H16" i="26" l="1"/>
  <c r="I16" i="26"/>
  <c r="N5" i="26" s="1"/>
  <c r="N6" i="26" l="1"/>
  <c r="G8" i="16" s="1"/>
  <c r="H8" i="16"/>
  <c r="Q5" i="21" l="1"/>
  <c r="Q6" i="21" s="1"/>
  <c r="E7" i="16" s="1"/>
  <c r="D7" i="16" s="1"/>
  <c r="F4" i="21"/>
  <c r="F12" i="21" s="1"/>
  <c r="K10" i="21" l="1"/>
  <c r="K3" i="21"/>
  <c r="K4" i="21"/>
  <c r="K11" i="21"/>
  <c r="K5" i="21"/>
  <c r="K8" i="21"/>
  <c r="K7" i="21"/>
  <c r="O4" i="21"/>
  <c r="K6" i="21"/>
  <c r="K9" i="21"/>
  <c r="K12" i="21" l="1"/>
  <c r="N8" i="21" s="1"/>
  <c r="F7" i="16" s="1"/>
  <c r="G8" i="21"/>
  <c r="G7" i="21"/>
  <c r="G6" i="21"/>
  <c r="G11" i="21"/>
  <c r="G9" i="21"/>
  <c r="G5" i="21"/>
  <c r="G10" i="21"/>
  <c r="G3" i="21"/>
  <c r="N4" i="21"/>
  <c r="J7" i="16" s="1"/>
  <c r="G4" i="21"/>
  <c r="J8" i="21" l="1"/>
  <c r="J11" i="21"/>
  <c r="J6" i="21"/>
  <c r="J9" i="21"/>
  <c r="G12" i="21"/>
  <c r="H6" i="21" s="1"/>
  <c r="I6" i="21" s="1"/>
  <c r="J3" i="21"/>
  <c r="J10" i="21"/>
  <c r="J4" i="21"/>
  <c r="J5" i="21"/>
  <c r="J7" i="21"/>
  <c r="H7" i="21" l="1"/>
  <c r="I7" i="21" s="1"/>
  <c r="H11" i="21"/>
  <c r="I11" i="21" s="1"/>
  <c r="H4" i="21"/>
  <c r="I4" i="21" s="1"/>
  <c r="H9" i="21"/>
  <c r="I9" i="21" s="1"/>
  <c r="H10" i="21"/>
  <c r="I10" i="21" s="1"/>
  <c r="H5" i="21"/>
  <c r="I5" i="21" s="1"/>
  <c r="J12" i="21"/>
  <c r="N7" i="21" s="1"/>
  <c r="I7" i="16" s="1"/>
  <c r="H8" i="21"/>
  <c r="I8" i="21" s="1"/>
  <c r="H3" i="21"/>
  <c r="I3" i="21" l="1"/>
  <c r="I12" i="21" s="1"/>
  <c r="N5" i="21" s="1"/>
  <c r="H12" i="21"/>
  <c r="N6" i="21" l="1"/>
  <c r="G7" i="16" s="1"/>
  <c r="H7" i="1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interval="60" name="Consulta - Table 0" description="Conexión a la consulta 'Table 0' en el libro." type="5" refreshedVersion="8" refreshOnLoad="1" saveData="1">
    <dbPr connection="Provider=Microsoft.Mashup.OleDb.1;Data Source=$Workbook$;Location=&quot;Table 0&quot;;Extended Properties=&quot;&quot;" command="SELECT * FROM [Table 0]"/>
  </connection>
  <connection id="2" xr16:uid="{00000000-0015-0000-FFFF-FFFF01000000}" keepAlive="1" interval="4" name="Consulta - Table 0 (3)" description="Conexión a la consulta 'Table 0 (3)' en el libro." type="5" refreshedVersion="8" background="1" refreshOnLoad="1" saveData="1">
    <dbPr connection="Provider=Microsoft.Mashup.OleDb.1;Data Source=$Workbook$;Location=&quot;Table 0 (3)&quot;;Extended Properties=&quot;&quot;" command="SELECT * FROM [Table 0 (3)]"/>
  </connection>
</connections>
</file>

<file path=xl/sharedStrings.xml><?xml version="1.0" encoding="utf-8"?>
<sst xmlns="http://schemas.openxmlformats.org/spreadsheetml/2006/main" count="196" uniqueCount="42">
  <si>
    <t>Fecha</t>
  </si>
  <si>
    <t>Renta</t>
  </si>
  <si>
    <t>Amortización</t>
  </si>
  <si>
    <t>Flujo de Fondos</t>
  </si>
  <si>
    <t>Coupon rate</t>
  </si>
  <si>
    <t>Valor Presente</t>
  </si>
  <si>
    <t>DURACION</t>
  </si>
  <si>
    <t>DM</t>
  </si>
  <si>
    <t>TIR N.A.</t>
  </si>
  <si>
    <t>(1)*(2)</t>
  </si>
  <si>
    <r>
      <t xml:space="preserve">Tiempo en años </t>
    </r>
    <r>
      <rPr>
        <b/>
        <sz val="11"/>
        <color theme="3" tint="-0.499984740745262"/>
        <rFont val="Calibri"/>
        <family val="2"/>
        <scheme val="minor"/>
      </rPr>
      <t>(1)</t>
    </r>
  </si>
  <si>
    <t>V.P.Cupón/Precio                              Ponderadores  (2)</t>
  </si>
  <si>
    <t>TIR. N.A.</t>
  </si>
  <si>
    <t>Especie</t>
  </si>
  <si>
    <t>PRECIO</t>
  </si>
  <si>
    <t>Interés corrido</t>
  </si>
  <si>
    <t>Paridad</t>
  </si>
  <si>
    <t>Valor Técnico</t>
  </si>
  <si>
    <t>t*(1+t)*VP</t>
  </si>
  <si>
    <t>CONVEXIDAD</t>
  </si>
  <si>
    <t>t x FF/SUMA(FF)</t>
  </si>
  <si>
    <t>PPV</t>
  </si>
  <si>
    <t>* Plazo Promedio de Vida</t>
  </si>
  <si>
    <t>Precio C/100 V.N. (48 hs.)</t>
  </si>
  <si>
    <t>CER al inicio</t>
  </si>
  <si>
    <t>Último CER disponible</t>
  </si>
  <si>
    <t>VALOR NOMINAL ACTUALIZADO</t>
  </si>
  <si>
    <t>Último Cupón</t>
  </si>
  <si>
    <t>TX26</t>
  </si>
  <si>
    <t>TX24</t>
  </si>
  <si>
    <t>(Base 2/2/2002=1)</t>
  </si>
  <si>
    <t>TX28</t>
  </si>
  <si>
    <t>T2X4</t>
  </si>
  <si>
    <t>CER al inicio (26/02/2021)</t>
  </si>
  <si>
    <t>Campo editable</t>
  </si>
  <si>
    <t>Campos editables</t>
  </si>
  <si>
    <r>
      <t>PPV</t>
    </r>
    <r>
      <rPr>
        <b/>
        <sz val="12"/>
        <color theme="0"/>
        <rFont val="Calibri"/>
        <family val="2"/>
        <scheme val="minor"/>
      </rPr>
      <t>*</t>
    </r>
  </si>
  <si>
    <t>Convexidad</t>
  </si>
  <si>
    <t>T2X5</t>
  </si>
  <si>
    <t>T4X4</t>
  </si>
  <si>
    <t>CER al inicio (28/02/2023)</t>
  </si>
  <si>
    <t>T3X4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</si>
</sst>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\ #,##0.00;[Red]\-&quot;$&quot;\ #,##0.00"/>
    <numFmt numFmtId="164" formatCode="0.0%"/>
    <numFmt numFmtId="165" formatCode="0.000"/>
    <numFmt numFmtId="166" formatCode="0.0000"/>
    <numFmt numFmtId="167" formatCode="0.0000%"/>
    <numFmt numFmtId="168" formatCode="0.00000"/>
    <numFmt numFmtId="169" formatCode="0.0"/>
    <numFmt numFmtId="170" formatCode="#,##0.000"/>
    <numFmt numFmtId="171" formatCode="0.0000000000"/>
    <numFmt numFmtId="172" formatCode="0.00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2.5"/>
      <color theme="3" tint="-0.49998474074526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1.5"/>
      <color theme="0"/>
      <name val="Calibri"/>
      <family val="2"/>
      <scheme val="minor"/>
    </font>
    <font>
      <sz val="9"/>
      <color rgb="FF444444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172" fontId="0" fillId="2" borderId="0" xfId="0" applyNumberFormat="1" applyFill="1" applyProtection="1"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12" fillId="3" borderId="2" xfId="0" applyFont="1" applyFill="1" applyBorder="1" applyAlignment="1" applyProtection="1">
      <alignment horizontal="center" vertical="center"/>
      <protection hidden="1"/>
    </xf>
    <xf numFmtId="0" fontId="12" fillId="3" borderId="1" xfId="0" applyFont="1" applyFill="1" applyBorder="1" applyAlignment="1" applyProtection="1">
      <alignment horizontal="center" vertical="center"/>
      <protection hidden="1"/>
    </xf>
    <xf numFmtId="0" fontId="12" fillId="3" borderId="3" xfId="0" applyFont="1" applyFill="1" applyBorder="1" applyAlignment="1" applyProtection="1">
      <alignment horizontal="center" vertical="center" wrapText="1"/>
      <protection hidden="1"/>
    </xf>
    <xf numFmtId="0" fontId="12" fillId="2" borderId="0" xfId="0" applyFont="1" applyFill="1" applyAlignment="1" applyProtection="1">
      <alignment horizontal="center" vertical="center" wrapText="1"/>
      <protection hidden="1"/>
    </xf>
    <xf numFmtId="0" fontId="4" fillId="2" borderId="10" xfId="0" applyFont="1" applyFill="1" applyBorder="1" applyAlignment="1" applyProtection="1">
      <alignment horizontal="center" vertical="center"/>
      <protection hidden="1"/>
    </xf>
    <xf numFmtId="0" fontId="4" fillId="2" borderId="5" xfId="0" applyFont="1" applyFill="1" applyBorder="1" applyAlignment="1" applyProtection="1">
      <alignment horizontal="center" vertical="center"/>
      <protection hidden="1"/>
    </xf>
    <xf numFmtId="14" fontId="4" fillId="2" borderId="5" xfId="0" applyNumberFormat="1" applyFont="1" applyFill="1" applyBorder="1" applyAlignment="1" applyProtection="1">
      <alignment horizontal="center"/>
      <protection hidden="1"/>
    </xf>
    <xf numFmtId="0" fontId="4" fillId="2" borderId="5" xfId="0" applyFont="1" applyFill="1" applyBorder="1" applyAlignment="1" applyProtection="1">
      <alignment horizontal="center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2" borderId="0" xfId="0" applyFont="1" applyFill="1" applyProtection="1">
      <protection hidden="1"/>
    </xf>
    <xf numFmtId="171" fontId="0" fillId="2" borderId="0" xfId="0" applyNumberFormat="1" applyFill="1" applyProtection="1">
      <protection hidden="1"/>
    </xf>
    <xf numFmtId="164" fontId="4" fillId="2" borderId="0" xfId="0" applyNumberFormat="1" applyFont="1" applyFill="1" applyAlignment="1" applyProtection="1">
      <alignment horizontal="center"/>
      <protection hidden="1"/>
    </xf>
    <xf numFmtId="2" fontId="4" fillId="2" borderId="0" xfId="0" applyNumberFormat="1" applyFont="1" applyFill="1" applyAlignment="1" applyProtection="1">
      <alignment horizontal="center"/>
      <protection hidden="1"/>
    </xf>
    <xf numFmtId="0" fontId="16" fillId="2" borderId="0" xfId="0" applyFont="1" applyFill="1" applyAlignment="1" applyProtection="1">
      <alignment vertical="center"/>
      <protection hidden="1"/>
    </xf>
    <xf numFmtId="10" fontId="9" fillId="2" borderId="0" xfId="1" applyNumberFormat="1" applyFont="1" applyFill="1" applyBorder="1" applyAlignment="1" applyProtection="1">
      <alignment horizontal="center" vertical="center"/>
      <protection hidden="1"/>
    </xf>
    <xf numFmtId="0" fontId="17" fillId="2" borderId="0" xfId="0" applyFont="1" applyFill="1" applyAlignment="1" applyProtection="1">
      <alignment horizontal="center" vertical="center"/>
      <protection hidden="1"/>
    </xf>
    <xf numFmtId="167" fontId="3" fillId="2" borderId="4" xfId="0" applyNumberFormat="1" applyFont="1" applyFill="1" applyBorder="1" applyProtection="1">
      <protection locked="0" hidden="1"/>
    </xf>
    <xf numFmtId="166" fontId="8" fillId="2" borderId="0" xfId="0" applyNumberFormat="1" applyFont="1" applyFill="1" applyAlignment="1" applyProtection="1">
      <alignment horizontal="center"/>
      <protection locked="0" hidden="1"/>
    </xf>
    <xf numFmtId="14" fontId="8" fillId="2" borderId="0" xfId="0" quotePrefix="1" applyNumberFormat="1" applyFont="1" applyFill="1" applyAlignment="1" applyProtection="1">
      <alignment horizontal="center"/>
      <protection locked="0" hidden="1"/>
    </xf>
    <xf numFmtId="165" fontId="8" fillId="2" borderId="0" xfId="0" applyNumberFormat="1" applyFont="1" applyFill="1" applyAlignment="1" applyProtection="1">
      <alignment horizontal="center"/>
      <protection locked="0" hidden="1"/>
    </xf>
    <xf numFmtId="10" fontId="8" fillId="2" borderId="0" xfId="1" applyNumberFormat="1" applyFont="1" applyFill="1" applyBorder="1" applyAlignment="1" applyProtection="1">
      <alignment horizontal="center"/>
      <protection locked="0" hidden="1"/>
    </xf>
    <xf numFmtId="0" fontId="5" fillId="6" borderId="2" xfId="0" applyFont="1" applyFill="1" applyBorder="1" applyAlignment="1" applyProtection="1">
      <alignment horizontal="center" vertical="center"/>
      <protection locked="0" hidden="1"/>
    </xf>
    <xf numFmtId="4" fontId="9" fillId="0" borderId="7" xfId="0" applyNumberFormat="1" applyFont="1" applyBorder="1" applyAlignment="1" applyProtection="1">
      <alignment horizontal="center" vertical="center"/>
      <protection locked="0" hidden="1"/>
    </xf>
    <xf numFmtId="0" fontId="0" fillId="2" borderId="0" xfId="0" applyFill="1" applyProtection="1">
      <protection locked="0" hidden="1"/>
    </xf>
    <xf numFmtId="14" fontId="3" fillId="2" borderId="1" xfId="0" applyNumberFormat="1" applyFont="1" applyFill="1" applyBorder="1" applyAlignment="1" applyProtection="1">
      <alignment horizontal="center" vertical="center"/>
      <protection locked="0" hidden="1"/>
    </xf>
    <xf numFmtId="10" fontId="9" fillId="0" borderId="8" xfId="0" applyNumberFormat="1" applyFont="1" applyBorder="1" applyAlignment="1" applyProtection="1">
      <alignment horizontal="center" vertical="center"/>
      <protection locked="0" hidden="1"/>
    </xf>
    <xf numFmtId="0" fontId="10" fillId="2" borderId="0" xfId="0" applyFont="1" applyFill="1" applyProtection="1">
      <protection locked="0" hidden="1"/>
    </xf>
    <xf numFmtId="170" fontId="9" fillId="0" borderId="7" xfId="0" applyNumberFormat="1" applyFont="1" applyBorder="1" applyAlignment="1" applyProtection="1">
      <alignment horizontal="center" vertical="center"/>
      <protection locked="0" hidden="1"/>
    </xf>
    <xf numFmtId="2" fontId="9" fillId="2" borderId="8" xfId="0" applyNumberFormat="1" applyFont="1" applyFill="1" applyBorder="1" applyAlignment="1" applyProtection="1">
      <alignment horizontal="center"/>
      <protection locked="0" hidden="1"/>
    </xf>
    <xf numFmtId="2" fontId="9" fillId="2" borderId="9" xfId="0" applyNumberFormat="1" applyFont="1" applyFill="1" applyBorder="1" applyAlignment="1" applyProtection="1">
      <alignment horizontal="center"/>
      <protection locked="0" hidden="1"/>
    </xf>
    <xf numFmtId="10" fontId="9" fillId="0" borderId="1" xfId="1" applyNumberFormat="1" applyFont="1" applyBorder="1" applyAlignment="1" applyProtection="1">
      <alignment horizontal="center" vertical="center"/>
      <protection locked="0" hidden="1"/>
    </xf>
    <xf numFmtId="0" fontId="14" fillId="2" borderId="0" xfId="0" applyFont="1" applyFill="1" applyAlignment="1" applyProtection="1">
      <alignment horizontal="center"/>
      <protection locked="0" hidden="1"/>
    </xf>
    <xf numFmtId="169" fontId="13" fillId="2" borderId="0" xfId="0" applyNumberFormat="1" applyFont="1" applyFill="1" applyAlignment="1" applyProtection="1">
      <alignment horizontal="center"/>
      <protection locked="0" hidden="1"/>
    </xf>
    <xf numFmtId="164" fontId="4" fillId="2" borderId="0" xfId="0" applyNumberFormat="1" applyFont="1" applyFill="1" applyAlignment="1" applyProtection="1">
      <alignment horizontal="center"/>
      <protection locked="0" hidden="1"/>
    </xf>
    <xf numFmtId="2" fontId="4" fillId="2" borderId="0" xfId="0" applyNumberFormat="1" applyFont="1" applyFill="1" applyAlignment="1" applyProtection="1">
      <alignment horizontal="center"/>
      <protection locked="0" hidden="1"/>
    </xf>
    <xf numFmtId="10" fontId="6" fillId="2" borderId="4" xfId="0" applyNumberFormat="1" applyFont="1" applyFill="1" applyBorder="1" applyAlignment="1" applyProtection="1">
      <alignment horizontal="center"/>
      <protection locked="0" hidden="1"/>
    </xf>
    <xf numFmtId="165" fontId="9" fillId="5" borderId="0" xfId="0" applyNumberFormat="1" applyFont="1" applyFill="1" applyAlignment="1" applyProtection="1">
      <alignment horizontal="center" vertical="center"/>
      <protection locked="0" hidden="1"/>
    </xf>
    <xf numFmtId="170" fontId="9" fillId="5" borderId="0" xfId="0" applyNumberFormat="1" applyFont="1" applyFill="1" applyAlignment="1" applyProtection="1">
      <alignment horizontal="center" vertical="center"/>
      <protection locked="0" hidden="1"/>
    </xf>
    <xf numFmtId="4" fontId="9" fillId="5" borderId="0" xfId="0" applyNumberFormat="1" applyFont="1" applyFill="1" applyAlignment="1" applyProtection="1">
      <alignment horizontal="center" vertical="center"/>
      <protection locked="0" hidden="1"/>
    </xf>
    <xf numFmtId="170" fontId="9" fillId="2" borderId="0" xfId="0" applyNumberFormat="1" applyFont="1" applyFill="1" applyAlignment="1" applyProtection="1">
      <alignment horizontal="center" vertical="center"/>
      <protection locked="0" hidden="1"/>
    </xf>
    <xf numFmtId="0" fontId="17" fillId="4" borderId="2" xfId="0" applyFont="1" applyFill="1" applyBorder="1" applyAlignment="1" applyProtection="1">
      <alignment horizontal="center" vertical="center"/>
      <protection hidden="1"/>
    </xf>
    <xf numFmtId="0" fontId="17" fillId="4" borderId="13" xfId="0" applyFont="1" applyFill="1" applyBorder="1" applyAlignment="1" applyProtection="1">
      <alignment horizontal="center" vertical="center"/>
      <protection hidden="1"/>
    </xf>
    <xf numFmtId="167" fontId="3" fillId="0" borderId="0" xfId="0" applyNumberFormat="1" applyFont="1" applyProtection="1">
      <protection locked="0" hidden="1"/>
    </xf>
    <xf numFmtId="0" fontId="0" fillId="0" borderId="0" xfId="0" applyProtection="1">
      <protection locked="0" hidden="1"/>
    </xf>
    <xf numFmtId="170" fontId="18" fillId="0" borderId="0" xfId="0" applyNumberFormat="1" applyFont="1"/>
    <xf numFmtId="170" fontId="0" fillId="0" borderId="0" xfId="0" applyNumberFormat="1" applyProtection="1">
      <protection hidden="1"/>
    </xf>
    <xf numFmtId="14" fontId="0" fillId="0" borderId="0" xfId="0" applyNumberFormat="1" applyProtection="1">
      <protection hidden="1"/>
    </xf>
    <xf numFmtId="164" fontId="9" fillId="5" borderId="0" xfId="1" applyNumberFormat="1" applyFont="1" applyFill="1" applyBorder="1" applyAlignment="1" applyProtection="1">
      <alignment horizontal="center" vertical="center"/>
      <protection locked="0" hidden="1"/>
    </xf>
    <xf numFmtId="2" fontId="9" fillId="5" borderId="0" xfId="0" applyNumberFormat="1" applyFont="1" applyFill="1" applyAlignment="1" applyProtection="1">
      <alignment horizontal="center" vertical="center"/>
      <protection locked="0" hidden="1"/>
    </xf>
    <xf numFmtId="0" fontId="7" fillId="2" borderId="0" xfId="0" applyFont="1" applyFill="1" applyProtection="1">
      <protection hidden="1"/>
    </xf>
    <xf numFmtId="0" fontId="3" fillId="2" borderId="0" xfId="0" applyFont="1" applyFill="1" applyAlignment="1" applyProtection="1">
      <alignment vertical="center"/>
      <protection hidden="1"/>
    </xf>
    <xf numFmtId="169" fontId="0" fillId="2" borderId="0" xfId="0" applyNumberFormat="1" applyFill="1" applyProtection="1">
      <protection hidden="1"/>
    </xf>
    <xf numFmtId="2" fontId="8" fillId="2" borderId="0" xfId="0" applyNumberFormat="1" applyFont="1" applyFill="1" applyAlignment="1" applyProtection="1">
      <alignment horizontal="center"/>
      <protection locked="0" hidden="1"/>
    </xf>
    <xf numFmtId="4" fontId="0" fillId="2" borderId="0" xfId="0" applyNumberFormat="1" applyFill="1" applyProtection="1">
      <protection hidden="1"/>
    </xf>
    <xf numFmtId="165" fontId="0" fillId="0" borderId="0" xfId="0" applyNumberFormat="1" applyProtection="1">
      <protection hidden="1"/>
    </xf>
    <xf numFmtId="0" fontId="20" fillId="4" borderId="3" xfId="0" applyFont="1" applyFill="1" applyBorder="1" applyAlignment="1" applyProtection="1">
      <alignment horizontal="center" vertical="center"/>
      <protection hidden="1"/>
    </xf>
    <xf numFmtId="165" fontId="9" fillId="0" borderId="7" xfId="0" applyNumberFormat="1" applyFont="1" applyBorder="1" applyAlignment="1" applyProtection="1">
      <alignment horizontal="center" vertical="center"/>
      <protection locked="0" hidden="1"/>
    </xf>
    <xf numFmtId="169" fontId="9" fillId="5" borderId="0" xfId="0" applyNumberFormat="1" applyFont="1" applyFill="1" applyAlignment="1" applyProtection="1">
      <alignment horizontal="center" vertical="center"/>
      <protection locked="0" hidden="1"/>
    </xf>
    <xf numFmtId="169" fontId="15" fillId="2" borderId="0" xfId="0" applyNumberFormat="1" applyFont="1" applyFill="1" applyAlignment="1" applyProtection="1">
      <alignment horizontal="center" vertical="center"/>
      <protection hidden="1"/>
    </xf>
    <xf numFmtId="10" fontId="0" fillId="2" borderId="0" xfId="0" applyNumberFormat="1" applyFill="1" applyProtection="1">
      <protection hidden="1"/>
    </xf>
    <xf numFmtId="9" fontId="0" fillId="2" borderId="0" xfId="1" applyFont="1" applyFill="1" applyProtection="1">
      <protection hidden="1"/>
    </xf>
    <xf numFmtId="0" fontId="4" fillId="0" borderId="11" xfId="0" applyFont="1" applyBorder="1" applyAlignment="1" applyProtection="1">
      <alignment horizontal="center" vertical="center"/>
      <protection hidden="1"/>
    </xf>
    <xf numFmtId="2" fontId="4" fillId="8" borderId="6" xfId="0" applyNumberFormat="1" applyFont="1" applyFill="1" applyBorder="1" applyAlignment="1" applyProtection="1">
      <alignment horizontal="center" vertical="center"/>
      <protection locked="0"/>
    </xf>
    <xf numFmtId="165" fontId="4" fillId="0" borderId="6" xfId="1" applyNumberFormat="1" applyFont="1" applyBorder="1" applyAlignment="1" applyProtection="1">
      <alignment horizontal="center" vertical="center"/>
      <protection hidden="1"/>
    </xf>
    <xf numFmtId="10" fontId="4" fillId="2" borderId="6" xfId="1" applyNumberFormat="1" applyFont="1" applyFill="1" applyBorder="1" applyAlignment="1" applyProtection="1">
      <alignment horizontal="center" vertical="center"/>
      <protection hidden="1"/>
    </xf>
    <xf numFmtId="2" fontId="4" fillId="0" borderId="6" xfId="1" applyNumberFormat="1" applyFont="1" applyBorder="1" applyAlignment="1" applyProtection="1">
      <alignment horizontal="center" vertical="center"/>
      <protection hidden="1"/>
    </xf>
    <xf numFmtId="165" fontId="4" fillId="8" borderId="1" xfId="0" applyNumberFormat="1" applyFont="1" applyFill="1" applyBorder="1" applyAlignment="1" applyProtection="1">
      <alignment horizontal="center" vertical="center"/>
      <protection locked="0"/>
    </xf>
    <xf numFmtId="167" fontId="19" fillId="7" borderId="17" xfId="0" applyNumberFormat="1" applyFont="1" applyFill="1" applyBorder="1" applyAlignment="1" applyProtection="1">
      <alignment vertical="center" wrapText="1"/>
      <protection locked="0" hidden="1"/>
    </xf>
    <xf numFmtId="167" fontId="19" fillId="7" borderId="16" xfId="0" applyNumberFormat="1" applyFont="1" applyFill="1" applyBorder="1" applyAlignment="1" applyProtection="1">
      <alignment vertical="center" wrapText="1"/>
      <protection locked="0" hidden="1"/>
    </xf>
    <xf numFmtId="167" fontId="19" fillId="7" borderId="21" xfId="0" applyNumberFormat="1" applyFont="1" applyFill="1" applyBorder="1" applyAlignment="1" applyProtection="1">
      <alignment vertical="center" wrapText="1"/>
      <protection locked="0" hidden="1"/>
    </xf>
    <xf numFmtId="167" fontId="19" fillId="7" borderId="22" xfId="0" applyNumberFormat="1" applyFont="1" applyFill="1" applyBorder="1" applyAlignment="1" applyProtection="1">
      <alignment vertical="center" wrapText="1"/>
      <protection locked="0" hidden="1"/>
    </xf>
    <xf numFmtId="8" fontId="3" fillId="9" borderId="1" xfId="0" applyNumberFormat="1" applyFont="1" applyFill="1" applyBorder="1" applyAlignment="1" applyProtection="1">
      <alignment horizontal="center" vertical="center"/>
      <protection locked="0"/>
    </xf>
    <xf numFmtId="167" fontId="19" fillId="7" borderId="20" xfId="0" applyNumberFormat="1" applyFont="1" applyFill="1" applyBorder="1" applyAlignment="1" applyProtection="1">
      <alignment vertical="center" wrapText="1"/>
      <protection locked="0" hidden="1"/>
    </xf>
    <xf numFmtId="10" fontId="4" fillId="2" borderId="12" xfId="1" applyNumberFormat="1" applyFont="1" applyFill="1" applyBorder="1" applyAlignment="1" applyProtection="1">
      <alignment horizontal="center" vertical="center"/>
      <protection hidden="1"/>
    </xf>
    <xf numFmtId="0" fontId="3" fillId="0" borderId="7" xfId="0" applyFont="1" applyBorder="1" applyAlignment="1" applyProtection="1">
      <alignment horizontal="center"/>
      <protection hidden="1"/>
    </xf>
    <xf numFmtId="2" fontId="3" fillId="0" borderId="19" xfId="0" applyNumberFormat="1" applyFont="1" applyBorder="1" applyAlignment="1" applyProtection="1">
      <alignment horizontal="center"/>
      <protection hidden="1"/>
    </xf>
    <xf numFmtId="168" fontId="3" fillId="0" borderId="1" xfId="0" applyNumberFormat="1" applyFont="1" applyBorder="1" applyAlignment="1" applyProtection="1">
      <alignment horizontal="center"/>
      <protection hidden="1"/>
    </xf>
    <xf numFmtId="167" fontId="21" fillId="4" borderId="20" xfId="0" applyNumberFormat="1" applyFont="1" applyFill="1" applyBorder="1" applyAlignment="1" applyProtection="1">
      <alignment vertical="center" wrapText="1"/>
      <protection locked="0" hidden="1"/>
    </xf>
    <xf numFmtId="167" fontId="21" fillId="4" borderId="2" xfId="0" applyNumberFormat="1" applyFont="1" applyFill="1" applyBorder="1" applyAlignment="1" applyProtection="1">
      <alignment vertical="center" wrapText="1"/>
      <protection locked="0" hidden="1"/>
    </xf>
    <xf numFmtId="0" fontId="22" fillId="4" borderId="3" xfId="0" applyFont="1" applyFill="1" applyBorder="1" applyAlignment="1">
      <alignment vertical="center" wrapText="1"/>
    </xf>
    <xf numFmtId="167" fontId="21" fillId="4" borderId="23" xfId="0" applyNumberFormat="1" applyFont="1" applyFill="1" applyBorder="1" applyAlignment="1" applyProtection="1">
      <alignment vertical="center" wrapText="1"/>
      <protection locked="0" hidden="1"/>
    </xf>
    <xf numFmtId="167" fontId="21" fillId="4" borderId="24" xfId="0" applyNumberFormat="1" applyFont="1" applyFill="1" applyBorder="1" applyAlignment="1" applyProtection="1">
      <alignment vertical="center" wrapText="1"/>
      <protection locked="0" hidden="1"/>
    </xf>
    <xf numFmtId="167" fontId="21" fillId="4" borderId="25" xfId="0" applyNumberFormat="1" applyFont="1" applyFill="1" applyBorder="1" applyAlignment="1" applyProtection="1">
      <alignment vertical="center" wrapText="1"/>
      <protection locked="0" hidden="1"/>
    </xf>
    <xf numFmtId="167" fontId="19" fillId="7" borderId="23" xfId="0" applyNumberFormat="1" applyFont="1" applyFill="1" applyBorder="1" applyAlignment="1" applyProtection="1">
      <alignment vertical="center" wrapText="1"/>
      <protection locked="0" hidden="1"/>
    </xf>
    <xf numFmtId="167" fontId="19" fillId="7" borderId="24" xfId="0" applyNumberFormat="1" applyFont="1" applyFill="1" applyBorder="1" applyAlignment="1" applyProtection="1">
      <alignment vertical="center" wrapText="1"/>
      <protection locked="0" hidden="1"/>
    </xf>
    <xf numFmtId="167" fontId="19" fillId="7" borderId="25" xfId="0" applyNumberFormat="1" applyFont="1" applyFill="1" applyBorder="1" applyAlignment="1" applyProtection="1">
      <alignment vertical="center" wrapText="1"/>
      <protection locked="0" hidden="1"/>
    </xf>
    <xf numFmtId="8" fontId="3" fillId="9" borderId="26" xfId="0" applyNumberFormat="1" applyFont="1" applyFill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hidden="1"/>
    </xf>
    <xf numFmtId="2" fontId="4" fillId="8" borderId="27" xfId="0" applyNumberFormat="1" applyFont="1" applyFill="1" applyBorder="1" applyAlignment="1" applyProtection="1">
      <alignment horizontal="center" vertical="center"/>
      <protection locked="0"/>
    </xf>
    <xf numFmtId="165" fontId="4" fillId="0" borderId="27" xfId="1" applyNumberFormat="1" applyFont="1" applyBorder="1" applyAlignment="1" applyProtection="1">
      <alignment horizontal="center" vertical="center"/>
      <protection hidden="1"/>
    </xf>
    <xf numFmtId="10" fontId="4" fillId="2" borderId="27" xfId="1" applyNumberFormat="1" applyFont="1" applyFill="1" applyBorder="1" applyAlignment="1" applyProtection="1">
      <alignment horizontal="center" vertical="center"/>
      <protection hidden="1"/>
    </xf>
    <xf numFmtId="2" fontId="4" fillId="0" borderId="27" xfId="1" applyNumberFormat="1" applyFont="1" applyBorder="1" applyAlignment="1" applyProtection="1">
      <alignment horizontal="center" vertical="center"/>
      <protection hidden="1"/>
    </xf>
    <xf numFmtId="10" fontId="4" fillId="2" borderId="28" xfId="1" applyNumberFormat="1" applyFont="1" applyFill="1" applyBorder="1" applyAlignment="1" applyProtection="1">
      <alignment horizontal="center" vertical="center"/>
      <protection hidden="1"/>
    </xf>
    <xf numFmtId="0" fontId="4" fillId="0" borderId="29" xfId="0" applyFont="1" applyBorder="1" applyAlignment="1" applyProtection="1">
      <alignment horizontal="center" vertical="center"/>
      <protection hidden="1"/>
    </xf>
    <xf numFmtId="2" fontId="4" fillId="8" borderId="30" xfId="0" applyNumberFormat="1" applyFont="1" applyFill="1" applyBorder="1" applyAlignment="1" applyProtection="1">
      <alignment horizontal="center" vertical="center"/>
      <protection locked="0"/>
    </xf>
    <xf numFmtId="165" fontId="4" fillId="0" borderId="30" xfId="1" applyNumberFormat="1" applyFont="1" applyBorder="1" applyAlignment="1" applyProtection="1">
      <alignment horizontal="center" vertical="center"/>
      <protection hidden="1"/>
    </xf>
    <xf numFmtId="10" fontId="4" fillId="2" borderId="30" xfId="1" applyNumberFormat="1" applyFont="1" applyFill="1" applyBorder="1" applyAlignment="1" applyProtection="1">
      <alignment horizontal="center" vertical="center"/>
      <protection hidden="1"/>
    </xf>
    <xf numFmtId="2" fontId="4" fillId="0" borderId="30" xfId="1" applyNumberFormat="1" applyFont="1" applyBorder="1" applyAlignment="1" applyProtection="1">
      <alignment horizontal="center" vertical="center"/>
      <protection hidden="1"/>
    </xf>
    <xf numFmtId="10" fontId="4" fillId="2" borderId="31" xfId="1" applyNumberFormat="1" applyFont="1" applyFill="1" applyBorder="1" applyAlignment="1" applyProtection="1">
      <alignment horizontal="center" vertical="center"/>
      <protection hidden="1"/>
    </xf>
    <xf numFmtId="0" fontId="20" fillId="4" borderId="2" xfId="0" applyFont="1" applyFill="1" applyBorder="1" applyAlignment="1" applyProtection="1">
      <alignment horizontal="left" vertical="center" wrapText="1"/>
      <protection hidden="1"/>
    </xf>
    <xf numFmtId="0" fontId="8" fillId="0" borderId="3" xfId="0" applyFont="1" applyBorder="1" applyAlignment="1" applyProtection="1">
      <alignment vertical="center" wrapText="1"/>
      <protection hidden="1"/>
    </xf>
    <xf numFmtId="0" fontId="16" fillId="2" borderId="0" xfId="0" applyFont="1" applyFill="1" applyAlignment="1" applyProtection="1">
      <alignment horizontal="center" vertical="center" wrapText="1"/>
      <protection hidden="1"/>
    </xf>
    <xf numFmtId="0" fontId="0" fillId="0" borderId="0" xfId="0" applyAlignment="1">
      <alignment horizontal="center" wrapText="1"/>
    </xf>
    <xf numFmtId="167" fontId="19" fillId="7" borderId="6" xfId="0" applyNumberFormat="1" applyFont="1" applyFill="1" applyBorder="1" applyAlignment="1" applyProtection="1">
      <alignment vertical="center" wrapText="1"/>
      <protection locked="0" hidden="1"/>
    </xf>
    <xf numFmtId="0" fontId="0" fillId="7" borderId="17" xfId="0" applyFill="1" applyBorder="1" applyAlignment="1">
      <alignment vertical="center" wrapText="1"/>
    </xf>
    <xf numFmtId="167" fontId="19" fillId="7" borderId="15" xfId="0" applyNumberFormat="1" applyFont="1" applyFill="1" applyBorder="1" applyAlignment="1" applyProtection="1">
      <alignment vertical="center" wrapText="1"/>
      <protection locked="0" hidden="1"/>
    </xf>
    <xf numFmtId="0" fontId="0" fillId="7" borderId="14" xfId="0" applyFill="1" applyBorder="1" applyAlignment="1">
      <alignment vertical="center" wrapText="1"/>
    </xf>
    <xf numFmtId="167" fontId="19" fillId="7" borderId="16" xfId="0" applyNumberFormat="1" applyFont="1" applyFill="1" applyBorder="1" applyAlignment="1" applyProtection="1">
      <alignment vertical="center" wrapText="1"/>
      <protection locked="0" hidden="1"/>
    </xf>
    <xf numFmtId="0" fontId="0" fillId="7" borderId="18" xfId="0" applyFill="1" applyBorder="1" applyAlignment="1">
      <alignment vertical="center" wrapText="1"/>
    </xf>
    <xf numFmtId="167" fontId="21" fillId="4" borderId="2" xfId="0" applyNumberFormat="1" applyFont="1" applyFill="1" applyBorder="1" applyAlignment="1" applyProtection="1">
      <alignment vertical="center" wrapText="1"/>
      <protection locked="0" hidden="1"/>
    </xf>
    <xf numFmtId="0" fontId="22" fillId="4" borderId="3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167" fontId="19" fillId="7" borderId="2" xfId="0" applyNumberFormat="1" applyFont="1" applyFill="1" applyBorder="1" applyAlignment="1" applyProtection="1">
      <alignment vertical="center" wrapText="1"/>
      <protection locked="0" hidden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900" b="0">
                <a:solidFill>
                  <a:schemeClr val="tx2">
                    <a:lumMod val="75000"/>
                  </a:schemeClr>
                </a:solidFill>
              </a:rPr>
              <a:t>Curva de Rendimientos </a:t>
            </a:r>
            <a:r>
              <a:rPr lang="en-US" sz="1900" b="0" i="1">
                <a:solidFill>
                  <a:schemeClr val="tx2">
                    <a:lumMod val="75000"/>
                  </a:schemeClr>
                </a:solidFill>
              </a:rPr>
              <a:t>Bonos CER</a:t>
            </a:r>
          </a:p>
        </c:rich>
      </c:tx>
      <c:layout>
        <c:manualLayout>
          <c:xMode val="edge"/>
          <c:yMode val="edge"/>
          <c:x val="0.29673256108738205"/>
          <c:y val="1.87756422287807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7.3468307048404791E-2"/>
          <c:y val="0.14195933642266009"/>
          <c:w val="0.9047745661574953"/>
          <c:h val="0.70110795465991027"/>
        </c:manualLayout>
      </c:layout>
      <c:scatterChart>
        <c:scatterStyle val="lineMarker"/>
        <c:varyColors val="0"/>
        <c:ser>
          <c:idx val="0"/>
          <c:order val="0"/>
          <c:tx>
            <c:strRef>
              <c:f>'Curva de rendimientos'!$J$1</c:f>
              <c:strCache>
                <c:ptCount val="1"/>
                <c:pt idx="0">
                  <c:v>TIR N.A.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2857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0871031743071303E-2"/>
                  <c:y val="5.4742935041180336E-2"/>
                </c:manualLayout>
              </c:layout>
              <c:tx>
                <c:rich>
                  <a:bodyPr/>
                  <a:lstStyle/>
                  <a:p>
                    <a:fld id="{74F02F6A-6615-4883-BD51-F2EB8A54916A}" type="CELLRANGE">
                      <a:rPr lang="en-US"/>
                      <a:pPr/>
                      <a:t>[CELLRANGE]</a:t>
                    </a:fld>
                    <a:endParaRPr lang="es-A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E14E-4805-97F8-3E10730CB325}"/>
                </c:ext>
              </c:extLst>
            </c:dLbl>
            <c:dLbl>
              <c:idx val="1"/>
              <c:layout>
                <c:manualLayout>
                  <c:x val="-3.4969044466017549E-2"/>
                  <c:y val="6.5128360755877593E-2"/>
                </c:manualLayout>
              </c:layout>
              <c:tx>
                <c:rich>
                  <a:bodyPr/>
                  <a:lstStyle/>
                  <a:p>
                    <a:fld id="{BB5F3A41-06D4-4898-86DC-DAD035DABACD}" type="CELLRANGE">
                      <a:rPr lang="en-US"/>
                      <a:pPr/>
                      <a:t>[CELLRANGE]</a:t>
                    </a:fld>
                    <a:endParaRPr lang="es-A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E14E-4805-97F8-3E10730CB325}"/>
                </c:ext>
              </c:extLst>
            </c:dLbl>
            <c:dLbl>
              <c:idx val="2"/>
              <c:layout>
                <c:manualLayout>
                  <c:x val="-3.5398234786789044E-2"/>
                  <c:y val="-6.418669552694084E-2"/>
                </c:manualLayout>
              </c:layout>
              <c:tx>
                <c:rich>
                  <a:bodyPr/>
                  <a:lstStyle/>
                  <a:p>
                    <a:fld id="{BEFCFF51-E00D-4DC3-B255-CAD9F367B48C}" type="CELLRANGE">
                      <a:rPr lang="en-US"/>
                      <a:pPr/>
                      <a:t>[CELLRANGE]</a:t>
                    </a:fld>
                    <a:endParaRPr lang="es-A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E14E-4805-97F8-3E10730CB325}"/>
                </c:ext>
              </c:extLst>
            </c:dLbl>
            <c:dLbl>
              <c:idx val="3"/>
              <c:layout>
                <c:manualLayout>
                  <c:x val="1.7226531191076339E-2"/>
                  <c:y val="-2.3340616555251228E-2"/>
                </c:manualLayout>
              </c:layout>
              <c:tx>
                <c:rich>
                  <a:bodyPr/>
                  <a:lstStyle/>
                  <a:p>
                    <a:fld id="{78527CC7-0B4D-4579-AB8D-4E9BDE7EF457}" type="CELLRANGE">
                      <a:rPr lang="en-US"/>
                      <a:pPr/>
                      <a:t>[CELLRANGE]</a:t>
                    </a:fld>
                    <a:endParaRPr lang="es-A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E14E-4805-97F8-3E10730CB325}"/>
                </c:ext>
              </c:extLst>
            </c:dLbl>
            <c:dLbl>
              <c:idx val="4"/>
              <c:layout>
                <c:manualLayout>
                  <c:x val="-1.6392422149765194E-2"/>
                  <c:y val="-5.5433964318721635E-2"/>
                </c:manualLayout>
              </c:layout>
              <c:tx>
                <c:rich>
                  <a:bodyPr/>
                  <a:lstStyle/>
                  <a:p>
                    <a:fld id="{B6326534-CC7D-4FD4-9310-0F393FA06B2C}" type="CELLRANGE">
                      <a:rPr lang="en-US"/>
                      <a:pPr/>
                      <a:t>[CELLRANGE]</a:t>
                    </a:fld>
                    <a:endParaRPr lang="es-A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E14E-4805-97F8-3E10730CB325}"/>
                </c:ext>
              </c:extLst>
            </c:dLbl>
            <c:dLbl>
              <c:idx val="5"/>
              <c:layout>
                <c:manualLayout>
                  <c:x val="-7.0290006688419324E-2"/>
                  <c:y val="6.8301962254718046E-2"/>
                </c:manualLayout>
              </c:layout>
              <c:tx>
                <c:rich>
                  <a:bodyPr/>
                  <a:lstStyle/>
                  <a:p>
                    <a:fld id="{7D89C961-D3AA-4C69-AE34-76A4579B22AB}" type="CELLRANGE">
                      <a:rPr lang="en-US"/>
                      <a:pPr/>
                      <a:t>[CELLRANGE]</a:t>
                    </a:fld>
                    <a:endParaRPr lang="es-A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3ECB-4734-9012-0BD5EBF272DB}"/>
                </c:ext>
              </c:extLst>
            </c:dLbl>
            <c:dLbl>
              <c:idx val="6"/>
              <c:layout>
                <c:manualLayout>
                  <c:x val="3.910035439118385E-3"/>
                  <c:y val="4.9103153631681343E-2"/>
                </c:manualLayout>
              </c:layout>
              <c:tx>
                <c:rich>
                  <a:bodyPr/>
                  <a:lstStyle/>
                  <a:p>
                    <a:fld id="{C31E02D9-2032-4E88-8E36-C1B63D92D5FB}" type="CELLRANGE">
                      <a:rPr lang="en-US"/>
                      <a:pPr/>
                      <a:t>[CELLRANGE]</a:t>
                    </a:fld>
                    <a:endParaRPr lang="es-A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3ECB-4734-9012-0BD5EBF272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5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2225" cap="rnd">
                <a:solidFill>
                  <a:schemeClr val="accent1">
                    <a:lumMod val="50000"/>
                  </a:schemeClr>
                </a:solidFill>
                <a:prstDash val="sysDot"/>
              </a:ln>
              <a:effectLst/>
            </c:spPr>
            <c:trendlineType val="log"/>
            <c:forward val="0.2"/>
            <c:backward val="0.2"/>
            <c:dispRSqr val="0"/>
            <c:dispEq val="0"/>
          </c:trendline>
          <c:xVal>
            <c:numRef>
              <c:f>'Curva de rendimientos'!$H$2:$H$8</c:f>
              <c:numCache>
                <c:formatCode>0.000</c:formatCode>
                <c:ptCount val="7"/>
                <c:pt idx="0">
                  <c:v>0.57959813661412918</c:v>
                </c:pt>
                <c:pt idx="1">
                  <c:v>0.91555979867555837</c:v>
                </c:pt>
                <c:pt idx="2">
                  <c:v>0.62670570825340743</c:v>
                </c:pt>
                <c:pt idx="3">
                  <c:v>1.102654968740175</c:v>
                </c:pt>
                <c:pt idx="4">
                  <c:v>1.4379708761441474</c:v>
                </c:pt>
                <c:pt idx="5">
                  <c:v>2.1271964252434259</c:v>
                </c:pt>
                <c:pt idx="6">
                  <c:v>2.7375400247516715</c:v>
                </c:pt>
              </c:numCache>
            </c:numRef>
          </c:xVal>
          <c:yVal>
            <c:numRef>
              <c:f>'Curva de rendimientos'!$J$2:$J$8</c:f>
              <c:numCache>
                <c:formatCode>0.00%</c:formatCode>
                <c:ptCount val="7"/>
                <c:pt idx="0">
                  <c:v>2.2151974628465965E-2</c:v>
                </c:pt>
                <c:pt idx="1">
                  <c:v>3.6337947620532773E-2</c:v>
                </c:pt>
                <c:pt idx="2">
                  <c:v>8.3296031300066797E-2</c:v>
                </c:pt>
                <c:pt idx="3">
                  <c:v>8.1001336189401751E-2</c:v>
                </c:pt>
                <c:pt idx="4">
                  <c:v>6.2021162339811031E-2</c:v>
                </c:pt>
                <c:pt idx="5">
                  <c:v>6.5670180872637207E-2</c:v>
                </c:pt>
                <c:pt idx="6">
                  <c:v>7.0449009839294252E-2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'Curva de rendimientos'!$B$2:$B$8</c15:f>
                <c15:dlblRangeCache>
                  <c:ptCount val="7"/>
                  <c:pt idx="0">
                    <c:v>TX24</c:v>
                  </c:pt>
                  <c:pt idx="1">
                    <c:v>T2X4</c:v>
                  </c:pt>
                  <c:pt idx="2">
                    <c:v>T3X4</c:v>
                  </c:pt>
                  <c:pt idx="3">
                    <c:v>T4X4</c:v>
                  </c:pt>
                  <c:pt idx="4">
                    <c:v>T2X5</c:v>
                  </c:pt>
                  <c:pt idx="5">
                    <c:v>TX26</c:v>
                  </c:pt>
                  <c:pt idx="6">
                    <c:v>TX28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E14E-4805-97F8-3E10730CB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7522703"/>
        <c:axId val="1987523951"/>
      </c:scatterChart>
      <c:valAx>
        <c:axId val="1987522703"/>
        <c:scaling>
          <c:orientation val="minMax"/>
          <c:max val="3.2"/>
          <c:min val="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2">
                        <a:lumMod val="50000"/>
                      </a:schemeClr>
                    </a:solidFill>
                  </a:rPr>
                  <a:t>DURACION (en años)</a:t>
                </a:r>
              </a:p>
            </c:rich>
          </c:tx>
          <c:layout>
            <c:manualLayout>
              <c:xMode val="edge"/>
              <c:yMode val="edge"/>
              <c:x val="0.44568924852135422"/>
              <c:y val="0.926175086695970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>
                      <a:lumMod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0"/>
        <c:majorTickMark val="none"/>
        <c:minorTickMark val="none"/>
        <c:tickLblPos val="low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987523951"/>
        <c:crosses val="autoZero"/>
        <c:crossBetween val="midCat"/>
        <c:majorUnit val="0.15000000000000002"/>
      </c:valAx>
      <c:valAx>
        <c:axId val="1987523951"/>
        <c:scaling>
          <c:orientation val="minMax"/>
          <c:max val="0.1200000000000000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TIR N.A.</a:t>
                </a:r>
              </a:p>
            </c:rich>
          </c:tx>
          <c:layout>
            <c:manualLayout>
              <c:xMode val="edge"/>
              <c:yMode val="edge"/>
              <c:x val="9.3567251461988306E-3"/>
              <c:y val="5.93924183989873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987522703"/>
        <c:crosses val="autoZero"/>
        <c:crossBetween val="midCat"/>
        <c:majorUnit val="1.0000000000000002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38101</xdr:colOff>
      <xdr:row>0</xdr:row>
      <xdr:rowOff>76198</xdr:rowOff>
    </xdr:from>
    <xdr:to>
      <xdr:col>21</xdr:col>
      <xdr:colOff>161925</xdr:colOff>
      <xdr:row>15</xdr:row>
      <xdr:rowOff>9525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NCFP\Recursos\Proyrena\Anual\2002\Alt4_Proy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33.8\secretar&#237;a%20finanzas\0INFORMA\Programas%20Financieros\Pmg%202009\Consolidado2009%20ver%2014-07-1%20Teso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to. a partir del impuesto"/>
      <sheetName val="Datos"/>
      <sheetName val="COP FED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C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  <sheetName val="Alt4_Proy2002"/>
      <sheetName val="Hoja3"/>
    </sheetNames>
    <sheetDataSet>
      <sheetData sheetId="0" refreshError="1"/>
      <sheetData sheetId="1" refreshError="1"/>
      <sheetData sheetId="2" refreshError="1">
        <row r="1">
          <cell r="A1" t="str">
            <v>DIRECCION NACIONAL DE</v>
          </cell>
        </row>
        <row r="2">
          <cell r="A2" t="str">
            <v>COORDINACION FISCAL</v>
          </cell>
        </row>
        <row r="3">
          <cell r="A3" t="str">
            <v>CON LAS PROVINCIAS</v>
          </cell>
        </row>
        <row r="5">
          <cell r="A5" t="str">
            <v xml:space="preserve">DISTRIBUCION DE RECURSOS COPARTICIPADOS </v>
          </cell>
        </row>
        <row r="6">
          <cell r="A6" t="str">
            <v>Excluye la vigencia del financiamiento del SIJP por $ 2154 millones (Ley 25082 Art. 3°)</v>
          </cell>
        </row>
        <row r="8">
          <cell r="A8" t="str">
            <v>AÑO 2002 (*)</v>
          </cell>
        </row>
        <row r="10">
          <cell r="A10" t="str">
            <v>- En miles de Pesos -</v>
          </cell>
        </row>
        <row r="15">
          <cell r="A15" t="str">
            <v>PROVINCIA</v>
          </cell>
          <cell r="B15" t="str">
            <v>ENERO</v>
          </cell>
          <cell r="C15" t="str">
            <v>FEBRERO</v>
          </cell>
          <cell r="D15" t="str">
            <v>MARZO</v>
          </cell>
          <cell r="E15" t="str">
            <v>ABRIL</v>
          </cell>
          <cell r="F15" t="str">
            <v>MAYO</v>
          </cell>
          <cell r="G15" t="str">
            <v>JUNIO</v>
          </cell>
          <cell r="H15" t="str">
            <v>JULIO</v>
          </cell>
          <cell r="I15" t="str">
            <v>AGOSTO</v>
          </cell>
          <cell r="J15" t="str">
            <v>SETIEMBRE</v>
          </cell>
          <cell r="K15" t="str">
            <v>OCTUBRE</v>
          </cell>
          <cell r="L15" t="str">
            <v>NOVIEMBRE</v>
          </cell>
          <cell r="M15" t="str">
            <v>DICIEMBRE</v>
          </cell>
          <cell r="N15" t="str">
            <v>TOTAL</v>
          </cell>
        </row>
        <row r="19">
          <cell r="A19" t="str">
            <v>BUENOS AIRES</v>
          </cell>
          <cell r="B19">
            <v>199118.5</v>
          </cell>
          <cell r="C19">
            <v>176756.6</v>
          </cell>
          <cell r="D19">
            <v>172078.8</v>
          </cell>
          <cell r="E19">
            <v>163054.20000000001</v>
          </cell>
          <cell r="F19">
            <v>186409.3</v>
          </cell>
          <cell r="G19">
            <v>210500.1</v>
          </cell>
          <cell r="H19">
            <v>177983.8</v>
          </cell>
          <cell r="I19">
            <v>184743.7</v>
          </cell>
          <cell r="J19">
            <v>181129.1</v>
          </cell>
          <cell r="K19">
            <v>192775.4</v>
          </cell>
          <cell r="L19">
            <v>198727.7</v>
          </cell>
          <cell r="M19">
            <v>198239.7</v>
          </cell>
          <cell r="N19">
            <v>2241516.9</v>
          </cell>
        </row>
        <row r="20">
          <cell r="A20" t="str">
            <v>CATAMARCA</v>
          </cell>
          <cell r="B20">
            <v>24974.400000000001</v>
          </cell>
          <cell r="C20">
            <v>22169.7</v>
          </cell>
          <cell r="D20">
            <v>21583</v>
          </cell>
          <cell r="E20">
            <v>20451.099999999999</v>
          </cell>
          <cell r="F20">
            <v>23380.400000000001</v>
          </cell>
          <cell r="G20">
            <v>26402</v>
          </cell>
          <cell r="H20">
            <v>22323.599999999999</v>
          </cell>
          <cell r="I20">
            <v>23171.5</v>
          </cell>
          <cell r="J20">
            <v>22718.1</v>
          </cell>
          <cell r="K20">
            <v>24178.799999999999</v>
          </cell>
          <cell r="L20">
            <v>24925.4</v>
          </cell>
          <cell r="M20">
            <v>24864.2</v>
          </cell>
          <cell r="N20">
            <v>281142.2</v>
          </cell>
        </row>
        <row r="21">
          <cell r="A21" t="str">
            <v>CORDOBA</v>
          </cell>
          <cell r="B21">
            <v>80512</v>
          </cell>
          <cell r="C21">
            <v>71470.100000000006</v>
          </cell>
          <cell r="D21">
            <v>69578.7</v>
          </cell>
          <cell r="E21">
            <v>65929.600000000006</v>
          </cell>
          <cell r="F21">
            <v>75373.100000000006</v>
          </cell>
          <cell r="G21">
            <v>85114</v>
          </cell>
          <cell r="H21">
            <v>71966.3</v>
          </cell>
          <cell r="I21">
            <v>74699.600000000006</v>
          </cell>
          <cell r="J21">
            <v>73238.100000000006</v>
          </cell>
          <cell r="K21">
            <v>77947.199999999997</v>
          </cell>
          <cell r="L21">
            <v>80353.899999999994</v>
          </cell>
          <cell r="M21">
            <v>80156.600000000006</v>
          </cell>
          <cell r="N21">
            <v>906339.2</v>
          </cell>
        </row>
        <row r="22">
          <cell r="A22" t="str">
            <v>CORRIENTES</v>
          </cell>
          <cell r="B22">
            <v>33706.699999999997</v>
          </cell>
          <cell r="C22">
            <v>29921.3</v>
          </cell>
          <cell r="D22">
            <v>29129.5</v>
          </cell>
          <cell r="E22">
            <v>27601.8</v>
          </cell>
          <cell r="F22">
            <v>31555.3</v>
          </cell>
          <cell r="G22">
            <v>35633.4</v>
          </cell>
          <cell r="H22">
            <v>30129.1</v>
          </cell>
          <cell r="I22">
            <v>31273.4</v>
          </cell>
          <cell r="J22">
            <v>30661.5</v>
          </cell>
          <cell r="K22">
            <v>32633</v>
          </cell>
          <cell r="L22">
            <v>33640.6</v>
          </cell>
          <cell r="M22">
            <v>33558</v>
          </cell>
          <cell r="N22">
            <v>379443.6</v>
          </cell>
        </row>
        <row r="23">
          <cell r="A23" t="str">
            <v>CHACO</v>
          </cell>
          <cell r="B23">
            <v>45233.4</v>
          </cell>
          <cell r="C23">
            <v>40153.5</v>
          </cell>
          <cell r="D23">
            <v>39090.800000000003</v>
          </cell>
          <cell r="E23">
            <v>37040.699999999997</v>
          </cell>
          <cell r="F23">
            <v>42346.3</v>
          </cell>
          <cell r="G23">
            <v>47818.9</v>
          </cell>
          <cell r="H23">
            <v>40432.300000000003</v>
          </cell>
          <cell r="I23">
            <v>41967.9</v>
          </cell>
          <cell r="J23">
            <v>41146.800000000003</v>
          </cell>
          <cell r="K23">
            <v>43792.4</v>
          </cell>
          <cell r="L23">
            <v>45144.6</v>
          </cell>
          <cell r="M23">
            <v>45033.8</v>
          </cell>
          <cell r="N23">
            <v>509201.4</v>
          </cell>
        </row>
        <row r="24">
          <cell r="A24" t="str">
            <v>CHUBUT</v>
          </cell>
          <cell r="B24">
            <v>14339.9</v>
          </cell>
          <cell r="C24">
            <v>12729.5</v>
          </cell>
          <cell r="D24">
            <v>12392.6</v>
          </cell>
          <cell r="E24">
            <v>11742.7</v>
          </cell>
          <cell r="F24">
            <v>13424.6</v>
          </cell>
          <cell r="G24">
            <v>15159.6</v>
          </cell>
          <cell r="H24">
            <v>12817.9</v>
          </cell>
          <cell r="I24">
            <v>13304.7</v>
          </cell>
          <cell r="J24">
            <v>13044.4</v>
          </cell>
          <cell r="K24">
            <v>13883.1</v>
          </cell>
          <cell r="L24">
            <v>14311.8</v>
          </cell>
          <cell r="M24">
            <v>14276.6</v>
          </cell>
          <cell r="N24">
            <v>161427.39999999997</v>
          </cell>
        </row>
        <row r="25">
          <cell r="A25" t="str">
            <v>ENTRE RIOS</v>
          </cell>
          <cell r="B25">
            <v>44272.800000000003</v>
          </cell>
          <cell r="C25">
            <v>39300.800000000003</v>
          </cell>
          <cell r="D25">
            <v>38260.699999999997</v>
          </cell>
          <cell r="E25">
            <v>36254.1</v>
          </cell>
          <cell r="F25">
            <v>41447</v>
          </cell>
          <cell r="G25">
            <v>46803.5</v>
          </cell>
          <cell r="H25">
            <v>39573.699999999997</v>
          </cell>
          <cell r="I25">
            <v>41076.699999999997</v>
          </cell>
          <cell r="J25">
            <v>40273</v>
          </cell>
          <cell r="K25">
            <v>42862.5</v>
          </cell>
          <cell r="L25">
            <v>44185.9</v>
          </cell>
          <cell r="M25">
            <v>44077.4</v>
          </cell>
          <cell r="N25">
            <v>498388.10000000003</v>
          </cell>
        </row>
        <row r="26">
          <cell r="A26" t="str">
            <v>FORMOSA</v>
          </cell>
          <cell r="B26">
            <v>33008.199999999997</v>
          </cell>
          <cell r="C26">
            <v>29301.200000000001</v>
          </cell>
          <cell r="D26">
            <v>28525.7</v>
          </cell>
          <cell r="E26">
            <v>27029.7</v>
          </cell>
          <cell r="F26">
            <v>30901.3</v>
          </cell>
          <cell r="G26">
            <v>34894.9</v>
          </cell>
          <cell r="H26">
            <v>29504.6</v>
          </cell>
          <cell r="I26">
            <v>30625.200000000001</v>
          </cell>
          <cell r="J26">
            <v>30026</v>
          </cell>
          <cell r="K26">
            <v>31956.7</v>
          </cell>
          <cell r="L26">
            <v>32943.4</v>
          </cell>
          <cell r="M26">
            <v>32862.5</v>
          </cell>
          <cell r="N26">
            <v>371579.4</v>
          </cell>
        </row>
        <row r="27">
          <cell r="A27" t="str">
            <v>JUJUY</v>
          </cell>
          <cell r="B27">
            <v>25760.3</v>
          </cell>
          <cell r="C27">
            <v>22867.3</v>
          </cell>
          <cell r="D27">
            <v>22262.2</v>
          </cell>
          <cell r="E27">
            <v>21094.6</v>
          </cell>
          <cell r="F27">
            <v>24116.1</v>
          </cell>
          <cell r="G27">
            <v>27232.799999999999</v>
          </cell>
          <cell r="H27">
            <v>23026.1</v>
          </cell>
          <cell r="I27">
            <v>23900.6</v>
          </cell>
          <cell r="J27">
            <v>23433</v>
          </cell>
          <cell r="K27">
            <v>24939.7</v>
          </cell>
          <cell r="L27">
            <v>25709.8</v>
          </cell>
          <cell r="M27">
            <v>25646.6</v>
          </cell>
          <cell r="N27">
            <v>289989.09999999998</v>
          </cell>
        </row>
        <row r="28">
          <cell r="A28" t="str">
            <v>LA PAMPA</v>
          </cell>
          <cell r="B28">
            <v>17028</v>
          </cell>
          <cell r="C28">
            <v>15115.7</v>
          </cell>
          <cell r="D28">
            <v>14715.7</v>
          </cell>
          <cell r="E28">
            <v>13943.9</v>
          </cell>
          <cell r="F28">
            <v>15941.2</v>
          </cell>
          <cell r="G28">
            <v>18001.3</v>
          </cell>
          <cell r="H28">
            <v>15220.6</v>
          </cell>
          <cell r="I28">
            <v>15798.7</v>
          </cell>
          <cell r="J28">
            <v>15489.6</v>
          </cell>
          <cell r="K28">
            <v>16485.599999999999</v>
          </cell>
          <cell r="L28">
            <v>16994.599999999999</v>
          </cell>
          <cell r="M28">
            <v>16952.900000000001</v>
          </cell>
          <cell r="N28">
            <v>191687.80000000002</v>
          </cell>
        </row>
        <row r="29">
          <cell r="A29" t="str">
            <v>LA RIOJA</v>
          </cell>
          <cell r="B29">
            <v>18774.5</v>
          </cell>
          <cell r="C29">
            <v>16666</v>
          </cell>
          <cell r="D29">
            <v>16225</v>
          </cell>
          <cell r="E29">
            <v>15374</v>
          </cell>
          <cell r="F29">
            <v>17576.2</v>
          </cell>
          <cell r="G29">
            <v>19847.599999999999</v>
          </cell>
          <cell r="H29">
            <v>16781.7</v>
          </cell>
          <cell r="I29">
            <v>17419.099999999999</v>
          </cell>
          <cell r="J29">
            <v>17078.3</v>
          </cell>
          <cell r="K29">
            <v>18176.400000000001</v>
          </cell>
          <cell r="L29">
            <v>18737.599999999999</v>
          </cell>
          <cell r="M29">
            <v>18691.599999999999</v>
          </cell>
          <cell r="N29">
            <v>211347.99999999997</v>
          </cell>
        </row>
        <row r="30">
          <cell r="A30" t="str">
            <v>MENDOZA</v>
          </cell>
          <cell r="B30">
            <v>37810.9</v>
          </cell>
          <cell r="C30">
            <v>33564.6</v>
          </cell>
          <cell r="D30">
            <v>32676.3</v>
          </cell>
          <cell r="E30">
            <v>30962.6</v>
          </cell>
          <cell r="F30">
            <v>35397.599999999999</v>
          </cell>
          <cell r="G30">
            <v>39972.199999999997</v>
          </cell>
          <cell r="H30">
            <v>33797.599999999999</v>
          </cell>
          <cell r="I30">
            <v>35081.300000000003</v>
          </cell>
          <cell r="J30">
            <v>34394.9</v>
          </cell>
          <cell r="K30">
            <v>36606.400000000001</v>
          </cell>
          <cell r="L30">
            <v>37736.699999999997</v>
          </cell>
          <cell r="M30">
            <v>37644.1</v>
          </cell>
          <cell r="N30">
            <v>425645.20000000007</v>
          </cell>
        </row>
        <row r="31">
          <cell r="A31" t="str">
            <v>MISIONES</v>
          </cell>
          <cell r="B31">
            <v>29951.8</v>
          </cell>
          <cell r="C31">
            <v>26588.1</v>
          </cell>
          <cell r="D31">
            <v>25884.5</v>
          </cell>
          <cell r="E31">
            <v>24527</v>
          </cell>
          <cell r="F31">
            <v>28040.1</v>
          </cell>
          <cell r="G31">
            <v>31663.9</v>
          </cell>
          <cell r="H31">
            <v>26772.7</v>
          </cell>
          <cell r="I31">
            <v>27789.599999999999</v>
          </cell>
          <cell r="J31">
            <v>27245.8</v>
          </cell>
          <cell r="K31">
            <v>28997.7</v>
          </cell>
          <cell r="L31">
            <v>29893.1</v>
          </cell>
          <cell r="M31">
            <v>29819.7</v>
          </cell>
          <cell r="N31">
            <v>337174</v>
          </cell>
        </row>
        <row r="32">
          <cell r="A32" t="str">
            <v>NEUQUEN</v>
          </cell>
          <cell r="B32">
            <v>15737.1</v>
          </cell>
          <cell r="C32">
            <v>13969.7</v>
          </cell>
          <cell r="D32">
            <v>13600</v>
          </cell>
          <cell r="E32">
            <v>12886.8</v>
          </cell>
          <cell r="F32">
            <v>14732.6</v>
          </cell>
          <cell r="G32">
            <v>16636.599999999999</v>
          </cell>
          <cell r="H32">
            <v>14066.7</v>
          </cell>
          <cell r="I32">
            <v>14601</v>
          </cell>
          <cell r="J32">
            <v>14315.3</v>
          </cell>
          <cell r="K32">
            <v>15235.8</v>
          </cell>
          <cell r="L32">
            <v>15706.2</v>
          </cell>
          <cell r="M32">
            <v>15667.6</v>
          </cell>
          <cell r="N32">
            <v>177155.40000000002</v>
          </cell>
        </row>
        <row r="33">
          <cell r="A33" t="str">
            <v>RIO NEGRO</v>
          </cell>
          <cell r="B33">
            <v>22878.7</v>
          </cell>
          <cell r="C33">
            <v>20309.3</v>
          </cell>
          <cell r="D33">
            <v>19771.8</v>
          </cell>
          <cell r="E33">
            <v>18734.900000000001</v>
          </cell>
          <cell r="F33">
            <v>21418.400000000001</v>
          </cell>
          <cell r="G33">
            <v>24186.400000000001</v>
          </cell>
          <cell r="H33">
            <v>20450.3</v>
          </cell>
          <cell r="I33">
            <v>21227</v>
          </cell>
          <cell r="J33">
            <v>20811.7</v>
          </cell>
          <cell r="K33">
            <v>22149.8</v>
          </cell>
          <cell r="L33">
            <v>22833.8</v>
          </cell>
          <cell r="M33">
            <v>22777.7</v>
          </cell>
          <cell r="N33">
            <v>257549.8</v>
          </cell>
        </row>
        <row r="34">
          <cell r="A34" t="str">
            <v>SALTA</v>
          </cell>
          <cell r="B34">
            <v>34754.6</v>
          </cell>
          <cell r="C34">
            <v>30851.5</v>
          </cell>
          <cell r="D34">
            <v>30035</v>
          </cell>
          <cell r="E34">
            <v>28459.9</v>
          </cell>
          <cell r="F34">
            <v>32536.3</v>
          </cell>
          <cell r="G34">
            <v>36741.199999999997</v>
          </cell>
          <cell r="H34">
            <v>31065.7</v>
          </cell>
          <cell r="I34">
            <v>32245.599999999999</v>
          </cell>
          <cell r="J34">
            <v>31614.7</v>
          </cell>
          <cell r="K34">
            <v>33647.5</v>
          </cell>
          <cell r="L34">
            <v>34686.400000000001</v>
          </cell>
          <cell r="M34">
            <v>34601.199999999997</v>
          </cell>
          <cell r="N34">
            <v>391239.60000000003</v>
          </cell>
        </row>
        <row r="35">
          <cell r="A35" t="str">
            <v>SAN JUAN</v>
          </cell>
          <cell r="B35">
            <v>30650.400000000001</v>
          </cell>
          <cell r="C35">
            <v>27208.2</v>
          </cell>
          <cell r="D35">
            <v>26488.2</v>
          </cell>
          <cell r="E35">
            <v>25099</v>
          </cell>
          <cell r="F35">
            <v>28694.1</v>
          </cell>
          <cell r="G35">
            <v>32402.400000000001</v>
          </cell>
          <cell r="H35">
            <v>27397.200000000001</v>
          </cell>
          <cell r="I35">
            <v>28437.7</v>
          </cell>
          <cell r="J35">
            <v>27881.3</v>
          </cell>
          <cell r="K35">
            <v>29674</v>
          </cell>
          <cell r="L35">
            <v>30590.3</v>
          </cell>
          <cell r="M35">
            <v>30515.200000000001</v>
          </cell>
          <cell r="N35">
            <v>345038</v>
          </cell>
        </row>
        <row r="36">
          <cell r="A36" t="str">
            <v>SAN LUIS</v>
          </cell>
          <cell r="B36">
            <v>20695.599999999999</v>
          </cell>
          <cell r="C36">
            <v>18371.400000000001</v>
          </cell>
          <cell r="D36">
            <v>17885.2</v>
          </cell>
          <cell r="E36">
            <v>16947.2</v>
          </cell>
          <cell r="F36">
            <v>19374.599999999999</v>
          </cell>
          <cell r="G36">
            <v>21878.6</v>
          </cell>
          <cell r="H36">
            <v>18498.900000000001</v>
          </cell>
          <cell r="I36">
            <v>19201.5</v>
          </cell>
          <cell r="J36">
            <v>18825.8</v>
          </cell>
          <cell r="K36">
            <v>20036.3</v>
          </cell>
          <cell r="L36">
            <v>20655</v>
          </cell>
          <cell r="M36">
            <v>20604.3</v>
          </cell>
          <cell r="N36">
            <v>232974.39999999997</v>
          </cell>
        </row>
        <row r="37">
          <cell r="A37" t="str">
            <v>SANTA CRUZ</v>
          </cell>
          <cell r="B37">
            <v>14339.9</v>
          </cell>
          <cell r="C37">
            <v>12729.5</v>
          </cell>
          <cell r="D37">
            <v>12392.6</v>
          </cell>
          <cell r="E37">
            <v>11742.7</v>
          </cell>
          <cell r="F37">
            <v>13424.6</v>
          </cell>
          <cell r="G37">
            <v>15159.6</v>
          </cell>
          <cell r="H37">
            <v>12817.9</v>
          </cell>
          <cell r="I37">
            <v>13304.7</v>
          </cell>
          <cell r="J37">
            <v>13044.4</v>
          </cell>
          <cell r="K37">
            <v>13883.1</v>
          </cell>
          <cell r="L37">
            <v>14311.8</v>
          </cell>
          <cell r="M37">
            <v>14276.6</v>
          </cell>
          <cell r="N37">
            <v>161427.39999999997</v>
          </cell>
        </row>
        <row r="38">
          <cell r="A38" t="str">
            <v>SANTA FE</v>
          </cell>
          <cell r="B38">
            <v>81035.899999999994</v>
          </cell>
          <cell r="C38">
            <v>71935.199999999997</v>
          </cell>
          <cell r="D38">
            <v>70031.399999999994</v>
          </cell>
          <cell r="E38">
            <v>66358.7</v>
          </cell>
          <cell r="F38">
            <v>75863.600000000006</v>
          </cell>
          <cell r="G38">
            <v>85667.9</v>
          </cell>
          <cell r="H38">
            <v>72434.600000000006</v>
          </cell>
          <cell r="I38">
            <v>75185.7</v>
          </cell>
          <cell r="J38">
            <v>73714.7</v>
          </cell>
          <cell r="K38">
            <v>78454.399999999994</v>
          </cell>
          <cell r="L38">
            <v>80876.800000000003</v>
          </cell>
          <cell r="M38">
            <v>80678.3</v>
          </cell>
          <cell r="N38">
            <v>912237.2</v>
          </cell>
        </row>
        <row r="39">
          <cell r="A39" t="str">
            <v>SANTIAGO DEL ESTERO</v>
          </cell>
          <cell r="B39">
            <v>37461.599999999999</v>
          </cell>
          <cell r="C39">
            <v>33254.5</v>
          </cell>
          <cell r="D39">
            <v>32374.5</v>
          </cell>
          <cell r="E39">
            <v>30676.6</v>
          </cell>
          <cell r="F39">
            <v>35070.6</v>
          </cell>
          <cell r="G39">
            <v>39602.9</v>
          </cell>
          <cell r="H39">
            <v>33485.4</v>
          </cell>
          <cell r="I39">
            <v>34757.199999999997</v>
          </cell>
          <cell r="J39">
            <v>34077.199999999997</v>
          </cell>
          <cell r="K39">
            <v>36268.300000000003</v>
          </cell>
          <cell r="L39">
            <v>37388.1</v>
          </cell>
          <cell r="M39">
            <v>37296.300000000003</v>
          </cell>
          <cell r="N39">
            <v>421713.19999999995</v>
          </cell>
        </row>
        <row r="40">
          <cell r="A40" t="str">
            <v>TUCUMAN</v>
          </cell>
          <cell r="B40">
            <v>43137.599999999999</v>
          </cell>
          <cell r="C40">
            <v>38293.1</v>
          </cell>
          <cell r="D40">
            <v>37279.699999999997</v>
          </cell>
          <cell r="E40">
            <v>35324.6</v>
          </cell>
          <cell r="F40">
            <v>40384.300000000003</v>
          </cell>
          <cell r="G40">
            <v>45603.4</v>
          </cell>
          <cell r="H40">
            <v>38559</v>
          </cell>
          <cell r="I40">
            <v>40023.4</v>
          </cell>
          <cell r="J40">
            <v>39240.400000000001</v>
          </cell>
          <cell r="K40">
            <v>41763.5</v>
          </cell>
          <cell r="L40">
            <v>43053</v>
          </cell>
          <cell r="M40">
            <v>42947.3</v>
          </cell>
          <cell r="N40">
            <v>485609.3</v>
          </cell>
        </row>
        <row r="41">
          <cell r="A41" t="str">
            <v>ACUM. BS. AS. - TUCUMAN</v>
          </cell>
          <cell r="B41">
            <v>905182.8</v>
          </cell>
          <cell r="C41">
            <v>803526.79999999993</v>
          </cell>
          <cell r="D41">
            <v>782261.89999999991</v>
          </cell>
          <cell r="E41">
            <v>741236.39999999979</v>
          </cell>
          <cell r="F41">
            <v>847407.59999999986</v>
          </cell>
          <cell r="G41">
            <v>956923.20000000007</v>
          </cell>
          <cell r="H41">
            <v>809105.69999999984</v>
          </cell>
          <cell r="I41">
            <v>839835.79999999993</v>
          </cell>
          <cell r="J41">
            <v>823404.10000000009</v>
          </cell>
          <cell r="K41">
            <v>876347.60000000009</v>
          </cell>
          <cell r="L41">
            <v>903406.5</v>
          </cell>
          <cell r="M41">
            <v>901188.2</v>
          </cell>
          <cell r="N41">
            <v>10189826.6</v>
          </cell>
        </row>
        <row r="42">
          <cell r="A42" t="str">
            <v>TIERRA DEL FUEGO</v>
          </cell>
          <cell r="B42">
            <v>11517.1</v>
          </cell>
          <cell r="C42">
            <v>10261.200000000001</v>
          </cell>
          <cell r="D42">
            <v>9998.5</v>
          </cell>
          <cell r="E42">
            <v>9491.6</v>
          </cell>
          <cell r="F42">
            <v>10803.3</v>
          </cell>
          <cell r="G42">
            <v>12156.3</v>
          </cell>
          <cell r="H42">
            <v>10330.1</v>
          </cell>
          <cell r="I42">
            <v>10709.8</v>
          </cell>
          <cell r="J42">
            <v>10506.8</v>
          </cell>
          <cell r="K42">
            <v>11160.9</v>
          </cell>
          <cell r="L42">
            <v>11495.2</v>
          </cell>
          <cell r="M42">
            <v>11467.8</v>
          </cell>
          <cell r="N42">
            <v>129898.6</v>
          </cell>
        </row>
        <row r="43">
          <cell r="A43" t="str">
            <v>ACUM. BS. AS. - TIERRA DEL FUEGO</v>
          </cell>
          <cell r="B43">
            <v>916699.9</v>
          </cell>
          <cell r="C43">
            <v>813787.99999999988</v>
          </cell>
          <cell r="D43">
            <v>792260.39999999991</v>
          </cell>
          <cell r="E43">
            <v>750727.99999999977</v>
          </cell>
          <cell r="F43">
            <v>858210.89999999991</v>
          </cell>
          <cell r="G43">
            <v>969079.50000000012</v>
          </cell>
          <cell r="H43">
            <v>819435.79999999981</v>
          </cell>
          <cell r="I43">
            <v>850545.6</v>
          </cell>
          <cell r="J43">
            <v>833910.90000000014</v>
          </cell>
          <cell r="K43">
            <v>887508.50000000012</v>
          </cell>
          <cell r="L43">
            <v>914901.7</v>
          </cell>
          <cell r="M43">
            <v>912656</v>
          </cell>
          <cell r="N43">
            <v>10319725.199999999</v>
          </cell>
        </row>
        <row r="44">
          <cell r="A44" t="str">
            <v>TRANSF.SERV.(TOTAL JURISD. EXCL. T.F)</v>
          </cell>
          <cell r="B44">
            <v>107987.4</v>
          </cell>
          <cell r="C44">
            <v>107987.4</v>
          </cell>
          <cell r="D44">
            <v>107987.4</v>
          </cell>
          <cell r="E44">
            <v>107987.4</v>
          </cell>
          <cell r="F44">
            <v>107987.4</v>
          </cell>
          <cell r="G44">
            <v>107987.4</v>
          </cell>
          <cell r="H44">
            <v>107987.4</v>
          </cell>
          <cell r="I44">
            <v>107987.4</v>
          </cell>
          <cell r="J44">
            <v>107987.4</v>
          </cell>
          <cell r="K44">
            <v>107987.4</v>
          </cell>
          <cell r="L44">
            <v>107987.4</v>
          </cell>
          <cell r="M44">
            <v>107987.4</v>
          </cell>
          <cell r="N44">
            <v>1295848.7999999998</v>
          </cell>
        </row>
        <row r="45">
          <cell r="A45" t="str">
            <v>TRANSF. SERV. (TIERRA DEL FUEGO)</v>
          </cell>
          <cell r="B45">
            <v>1000</v>
          </cell>
          <cell r="C45">
            <v>1000</v>
          </cell>
          <cell r="D45">
            <v>1000</v>
          </cell>
          <cell r="E45">
            <v>1000</v>
          </cell>
          <cell r="F45">
            <v>1000</v>
          </cell>
          <cell r="G45">
            <v>1000</v>
          </cell>
          <cell r="H45">
            <v>1000</v>
          </cell>
          <cell r="I45">
            <v>1000</v>
          </cell>
          <cell r="J45">
            <v>1000</v>
          </cell>
          <cell r="K45">
            <v>1000</v>
          </cell>
          <cell r="L45">
            <v>1000</v>
          </cell>
          <cell r="M45">
            <v>1000</v>
          </cell>
          <cell r="N45">
            <v>12000</v>
          </cell>
        </row>
        <row r="46">
          <cell r="A46" t="str">
            <v>FONDO ATN</v>
          </cell>
          <cell r="B46">
            <v>17881.599999999999</v>
          </cell>
          <cell r="C46">
            <v>16087.4</v>
          </cell>
          <cell r="D46">
            <v>15712.1</v>
          </cell>
          <cell r="E46">
            <v>14988.1</v>
          </cell>
          <cell r="F46">
            <v>16861.900000000001</v>
          </cell>
          <cell r="G46">
            <v>18794.8</v>
          </cell>
          <cell r="H46">
            <v>16185.9</v>
          </cell>
          <cell r="I46">
            <v>16728.3</v>
          </cell>
          <cell r="J46">
            <v>16438.3</v>
          </cell>
          <cell r="K46">
            <v>17372.7</v>
          </cell>
          <cell r="L46">
            <v>17850.2</v>
          </cell>
          <cell r="M46">
            <v>17811.099999999999</v>
          </cell>
          <cell r="N46">
            <v>202712.40000000002</v>
          </cell>
        </row>
        <row r="47">
          <cell r="A47" t="str">
            <v>NACION</v>
          </cell>
          <cell r="B47">
            <v>744589.1</v>
          </cell>
          <cell r="C47">
            <v>669880.80000000005</v>
          </cell>
          <cell r="D47">
            <v>654253</v>
          </cell>
          <cell r="E47">
            <v>624102.9</v>
          </cell>
          <cell r="F47">
            <v>702129.4</v>
          </cell>
          <cell r="G47">
            <v>782613.6</v>
          </cell>
          <cell r="H47">
            <v>673980.9</v>
          </cell>
          <cell r="I47">
            <v>696564.7</v>
          </cell>
          <cell r="J47">
            <v>684489</v>
          </cell>
          <cell r="K47">
            <v>723397.6</v>
          </cell>
          <cell r="L47">
            <v>743283.4</v>
          </cell>
          <cell r="M47">
            <v>741653.1</v>
          </cell>
          <cell r="N47">
            <v>8440937.5</v>
          </cell>
        </row>
        <row r="48">
          <cell r="A48" t="str">
            <v>ACUMULADO I</v>
          </cell>
          <cell r="B48">
            <v>1788158</v>
          </cell>
          <cell r="C48">
            <v>1608743.6</v>
          </cell>
          <cell r="D48">
            <v>1571212.9</v>
          </cell>
          <cell r="E48">
            <v>1498806.4</v>
          </cell>
          <cell r="F48">
            <v>1686189.6</v>
          </cell>
          <cell r="G48">
            <v>1879475.3000000003</v>
          </cell>
          <cell r="H48">
            <v>1618590</v>
          </cell>
          <cell r="I48">
            <v>1672826</v>
          </cell>
          <cell r="J48">
            <v>1643825.6</v>
          </cell>
          <cell r="K48">
            <v>1737266.2000000002</v>
          </cell>
          <cell r="L48">
            <v>1785022.7</v>
          </cell>
          <cell r="M48">
            <v>1781107.6</v>
          </cell>
          <cell r="N48">
            <v>20271223.899999999</v>
          </cell>
        </row>
        <row r="49">
          <cell r="A49" t="str">
            <v>FONDO COMPENSADOR DE DEFICITS</v>
          </cell>
          <cell r="B49">
            <v>45800</v>
          </cell>
          <cell r="C49">
            <v>45800</v>
          </cell>
          <cell r="D49">
            <v>45800</v>
          </cell>
          <cell r="E49">
            <v>45800</v>
          </cell>
          <cell r="F49">
            <v>45800</v>
          </cell>
          <cell r="G49">
            <v>45800</v>
          </cell>
          <cell r="H49">
            <v>45800</v>
          </cell>
          <cell r="I49">
            <v>45800</v>
          </cell>
          <cell r="J49">
            <v>45800</v>
          </cell>
          <cell r="K49">
            <v>45800</v>
          </cell>
          <cell r="L49">
            <v>45800</v>
          </cell>
          <cell r="M49">
            <v>45800</v>
          </cell>
          <cell r="N49">
            <v>549600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g. Fin."/>
      <sheetName val="pesos"/>
      <sheetName val="dolares"/>
      <sheetName val="RESUMEN "/>
      <sheetName val="dolares cosentino"/>
    </sheetNames>
    <sheetDataSet>
      <sheetData sheetId="0" refreshError="1">
        <row r="1">
          <cell r="E1" t="str">
            <v xml:space="preserve">I TRIM. </v>
          </cell>
          <cell r="I1" t="str">
            <v>II TRIM</v>
          </cell>
          <cell r="J1" t="str">
            <v xml:space="preserve">I SEM </v>
          </cell>
          <cell r="N1" t="str">
            <v xml:space="preserve">III TRIM </v>
          </cell>
          <cell r="R1" t="str">
            <v>IV TRIM</v>
          </cell>
          <cell r="S1" t="str">
            <v>II SEM</v>
          </cell>
        </row>
        <row r="3">
          <cell r="E3">
            <v>11136.157385710585</v>
          </cell>
          <cell r="I3">
            <v>-6015.7447552821868</v>
          </cell>
          <cell r="J3">
            <v>11136.157385710585</v>
          </cell>
          <cell r="N3">
            <v>2609.2660964269198</v>
          </cell>
          <cell r="R3">
            <v>-10688.165500810494</v>
          </cell>
          <cell r="S3">
            <v>2609.2660964269198</v>
          </cell>
        </row>
        <row r="5">
          <cell r="E5">
            <v>26350.808121834471</v>
          </cell>
          <cell r="I5">
            <v>44439.368716526878</v>
          </cell>
          <cell r="J5">
            <v>70790.176838361353</v>
          </cell>
          <cell r="N5">
            <v>14563.912527213753</v>
          </cell>
          <cell r="R5">
            <v>28463.269178655319</v>
          </cell>
          <cell r="S5">
            <v>43027.181705869072</v>
          </cell>
        </row>
        <row r="7">
          <cell r="E7">
            <v>1040.5000000000027</v>
          </cell>
          <cell r="I7">
            <v>3894.1999999999935</v>
          </cell>
          <cell r="J7">
            <v>4934.6999999999962</v>
          </cell>
          <cell r="N7">
            <v>-2083.3340585442038</v>
          </cell>
          <cell r="R7">
            <v>-1438.0519999999979</v>
          </cell>
          <cell r="S7">
            <v>-3521.3860585442017</v>
          </cell>
        </row>
        <row r="8">
          <cell r="E8">
            <v>24734.100000000002</v>
          </cell>
          <cell r="I8">
            <v>32006.099999999991</v>
          </cell>
          <cell r="J8">
            <v>56740.2</v>
          </cell>
          <cell r="N8">
            <v>28066.534327933492</v>
          </cell>
          <cell r="R8">
            <v>30268.175000000003</v>
          </cell>
          <cell r="S8">
            <v>58334.709327933495</v>
          </cell>
        </row>
        <row r="9">
          <cell r="A9" t="str">
            <v xml:space="preserve">        Tributarios</v>
          </cell>
          <cell r="B9">
            <v>8189.1</v>
          </cell>
          <cell r="C9">
            <v>8110.3</v>
          </cell>
          <cell r="D9">
            <v>7848.1</v>
          </cell>
          <cell r="E9">
            <v>24147.5</v>
          </cell>
          <cell r="F9">
            <v>8592.2999999999993</v>
          </cell>
          <cell r="G9">
            <v>9596.6</v>
          </cell>
          <cell r="H9">
            <v>10141.299999999999</v>
          </cell>
          <cell r="I9">
            <v>28330.2</v>
          </cell>
          <cell r="J9">
            <v>52477.7</v>
          </cell>
          <cell r="K9">
            <v>9055.8259946001526</v>
          </cell>
          <cell r="L9">
            <v>9326.4000000000015</v>
          </cell>
          <cell r="M9">
            <v>9079.9</v>
          </cell>
          <cell r="N9">
            <v>27462.125994600152</v>
          </cell>
          <cell r="O9">
            <v>9520</v>
          </cell>
          <cell r="P9">
            <v>9410.3000000000011</v>
          </cell>
          <cell r="Q9">
            <v>9333.4</v>
          </cell>
          <cell r="R9">
            <v>28263.700000000004</v>
          </cell>
          <cell r="S9">
            <v>55725.825994600156</v>
          </cell>
          <cell r="T9">
            <v>108203.52599460015</v>
          </cell>
          <cell r="U9">
            <v>74001.100000000006</v>
          </cell>
          <cell r="V9">
            <v>-34202.42599460014</v>
          </cell>
        </row>
        <row r="10">
          <cell r="A10" t="str">
            <v xml:space="preserve">        No Tributarios</v>
          </cell>
          <cell r="B10">
            <v>9.3000000000000007</v>
          </cell>
          <cell r="C10">
            <v>8.5</v>
          </cell>
          <cell r="D10">
            <v>68.7</v>
          </cell>
          <cell r="E10">
            <v>86.5</v>
          </cell>
          <cell r="F10">
            <v>24.8</v>
          </cell>
          <cell r="G10">
            <v>8.3000000000000007</v>
          </cell>
          <cell r="H10">
            <v>73.599999999999994</v>
          </cell>
          <cell r="I10">
            <v>106.69999999999999</v>
          </cell>
          <cell r="J10">
            <v>193.2</v>
          </cell>
          <cell r="K10">
            <v>20.6</v>
          </cell>
          <cell r="L10">
            <v>20.6</v>
          </cell>
          <cell r="M10">
            <v>20.641666666666666</v>
          </cell>
          <cell r="N10">
            <v>61.841666666666669</v>
          </cell>
          <cell r="O10">
            <v>20.641666666666666</v>
          </cell>
          <cell r="P10">
            <v>20.641666666666666</v>
          </cell>
          <cell r="Q10">
            <v>20.641666666666666</v>
          </cell>
          <cell r="R10">
            <v>61.924999999999997</v>
          </cell>
          <cell r="S10">
            <v>123.76666666666667</v>
          </cell>
          <cell r="T10">
            <v>316.96666666666664</v>
          </cell>
          <cell r="U10">
            <v>174.4</v>
          </cell>
          <cell r="V10">
            <v>-142.56666666666663</v>
          </cell>
        </row>
        <row r="11">
          <cell r="A11" t="str">
            <v xml:space="preserve">        Venta de bienes y servicios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V11">
            <v>0</v>
          </cell>
        </row>
        <row r="12">
          <cell r="A12" t="str">
            <v xml:space="preserve">        Rentas de la Propiedad</v>
          </cell>
          <cell r="B12">
            <v>51.7</v>
          </cell>
          <cell r="C12">
            <v>75.099999999999994</v>
          </cell>
          <cell r="D12">
            <v>71.5</v>
          </cell>
          <cell r="E12">
            <v>198.3</v>
          </cell>
          <cell r="F12">
            <v>83</v>
          </cell>
          <cell r="G12">
            <v>68.3</v>
          </cell>
          <cell r="H12">
            <v>3147.4</v>
          </cell>
          <cell r="I12">
            <v>3298.7000000000003</v>
          </cell>
          <cell r="J12">
            <v>3497.0000000000005</v>
          </cell>
          <cell r="K12">
            <v>56.7</v>
          </cell>
          <cell r="L12">
            <v>56.7</v>
          </cell>
          <cell r="M12">
            <v>56.691666666666663</v>
          </cell>
          <cell r="N12">
            <v>170.09166666666667</v>
          </cell>
          <cell r="O12">
            <v>56.691666666666663</v>
          </cell>
          <cell r="P12">
            <v>56.691666666666663</v>
          </cell>
          <cell r="Q12">
            <v>1456.6916666666666</v>
          </cell>
          <cell r="R12">
            <v>1570.0749999999998</v>
          </cell>
          <cell r="S12">
            <v>1740.1666666666665</v>
          </cell>
          <cell r="T12">
            <v>5237.166666666667</v>
          </cell>
          <cell r="U12">
            <v>1243.8</v>
          </cell>
          <cell r="V12">
            <v>-3993.3666666666668</v>
          </cell>
        </row>
        <row r="13">
          <cell r="A13" t="str">
            <v xml:space="preserve">        Transferencias</v>
          </cell>
          <cell r="B13">
            <v>18</v>
          </cell>
          <cell r="C13">
            <v>32.700000000000003</v>
          </cell>
          <cell r="D13">
            <v>28.5</v>
          </cell>
          <cell r="E13">
            <v>79.2</v>
          </cell>
          <cell r="F13">
            <v>42.8</v>
          </cell>
          <cell r="G13">
            <v>20.3</v>
          </cell>
          <cell r="H13">
            <v>29.6</v>
          </cell>
          <cell r="I13">
            <v>92.699999999999989</v>
          </cell>
          <cell r="J13">
            <v>171.89999999999998</v>
          </cell>
          <cell r="K13">
            <v>40</v>
          </cell>
          <cell r="L13">
            <v>40</v>
          </cell>
          <cell r="M13">
            <v>40</v>
          </cell>
          <cell r="N13">
            <v>120</v>
          </cell>
          <cell r="O13">
            <v>40</v>
          </cell>
          <cell r="P13">
            <v>40</v>
          </cell>
          <cell r="Q13">
            <v>40</v>
          </cell>
          <cell r="R13">
            <v>120</v>
          </cell>
          <cell r="S13">
            <v>240</v>
          </cell>
          <cell r="T13">
            <v>411.9</v>
          </cell>
          <cell r="U13">
            <v>208.6</v>
          </cell>
          <cell r="V13">
            <v>-203.29999999999998</v>
          </cell>
        </row>
        <row r="14">
          <cell r="A14" t="str">
            <v xml:space="preserve">        Contribuciones Figurativas</v>
          </cell>
          <cell r="B14">
            <v>58.2</v>
          </cell>
          <cell r="C14">
            <v>30</v>
          </cell>
          <cell r="D14">
            <v>134</v>
          </cell>
          <cell r="E14">
            <v>222.2</v>
          </cell>
          <cell r="F14">
            <v>31.5</v>
          </cell>
          <cell r="G14">
            <v>101.8</v>
          </cell>
          <cell r="H14">
            <v>43.3</v>
          </cell>
          <cell r="I14">
            <v>176.60000000000002</v>
          </cell>
          <cell r="J14">
            <v>398.8</v>
          </cell>
          <cell r="K14">
            <v>0</v>
          </cell>
          <cell r="L14">
            <v>0</v>
          </cell>
          <cell r="M14">
            <v>214.97499999999999</v>
          </cell>
          <cell r="N14">
            <v>214.97499999999999</v>
          </cell>
          <cell r="O14">
            <v>0</v>
          </cell>
          <cell r="P14">
            <v>0</v>
          </cell>
          <cell r="Q14">
            <v>214.97499999999999</v>
          </cell>
          <cell r="R14">
            <v>214.97499999999999</v>
          </cell>
          <cell r="S14">
            <v>429.95</v>
          </cell>
          <cell r="T14">
            <v>828.75</v>
          </cell>
          <cell r="U14">
            <v>960.4</v>
          </cell>
          <cell r="V14">
            <v>131.64999999999998</v>
          </cell>
        </row>
        <row r="15">
          <cell r="E15">
            <v>0.4</v>
          </cell>
          <cell r="I15">
            <v>1.2</v>
          </cell>
          <cell r="J15">
            <v>1.6</v>
          </cell>
          <cell r="N15">
            <v>37.5</v>
          </cell>
          <cell r="R15">
            <v>37.5</v>
          </cell>
          <cell r="S15">
            <v>75</v>
          </cell>
        </row>
        <row r="16">
          <cell r="E16">
            <v>23693.599999999999</v>
          </cell>
          <cell r="I16">
            <v>28111.9</v>
          </cell>
          <cell r="J16">
            <v>51805.5</v>
          </cell>
          <cell r="N16">
            <v>30149.868386477698</v>
          </cell>
          <cell r="R16">
            <v>31706.226999999999</v>
          </cell>
          <cell r="S16">
            <v>61856.095386477697</v>
          </cell>
        </row>
        <row r="17">
          <cell r="A17" t="str">
            <v xml:space="preserve">      - Remuneraciones</v>
          </cell>
          <cell r="B17">
            <v>1277.4000000000001</v>
          </cell>
          <cell r="C17">
            <v>1245.5</v>
          </cell>
          <cell r="D17">
            <v>1228.0999999999999</v>
          </cell>
          <cell r="E17">
            <v>3751</v>
          </cell>
          <cell r="F17">
            <v>1224.5</v>
          </cell>
          <cell r="G17">
            <v>1203</v>
          </cell>
          <cell r="H17">
            <v>1234.5999999999999</v>
          </cell>
          <cell r="I17">
            <v>3662.1</v>
          </cell>
          <cell r="J17">
            <v>7413.1</v>
          </cell>
          <cell r="K17">
            <v>1795.16</v>
          </cell>
          <cell r="L17">
            <v>1345.8000000000002</v>
          </cell>
          <cell r="M17">
            <v>1405.66</v>
          </cell>
          <cell r="N17">
            <v>4546.62</v>
          </cell>
          <cell r="O17">
            <v>1405.66</v>
          </cell>
          <cell r="P17">
            <v>1405.66</v>
          </cell>
          <cell r="Q17">
            <v>1886.8</v>
          </cell>
          <cell r="R17">
            <v>4698.12</v>
          </cell>
          <cell r="S17">
            <v>9244.74</v>
          </cell>
          <cell r="T17">
            <v>16657.84</v>
          </cell>
          <cell r="U17">
            <v>10334</v>
          </cell>
          <cell r="V17">
            <v>-6323.84</v>
          </cell>
        </row>
        <row r="18">
          <cell r="A18" t="str">
            <v xml:space="preserve">      - Bienes y Servicios</v>
          </cell>
          <cell r="B18">
            <v>574.70000000000005</v>
          </cell>
          <cell r="C18">
            <v>329.1</v>
          </cell>
          <cell r="D18">
            <v>337.3</v>
          </cell>
          <cell r="E18">
            <v>1241.1000000000001</v>
          </cell>
          <cell r="F18">
            <v>448.7</v>
          </cell>
          <cell r="G18">
            <v>406.4</v>
          </cell>
          <cell r="H18">
            <v>553.6</v>
          </cell>
          <cell r="I18">
            <v>1408.6999999999998</v>
          </cell>
          <cell r="J18">
            <v>2649.8</v>
          </cell>
          <cell r="K18">
            <v>551.81999999999994</v>
          </cell>
          <cell r="L18">
            <v>470.67999999999995</v>
          </cell>
          <cell r="M18">
            <v>470.68999999999994</v>
          </cell>
          <cell r="N18">
            <v>1493.1899999999998</v>
          </cell>
          <cell r="O18">
            <v>470.68999999999994</v>
          </cell>
          <cell r="P18">
            <v>470.68999999999994</v>
          </cell>
          <cell r="Q18">
            <v>472.28999999999996</v>
          </cell>
          <cell r="R18">
            <v>1413.6699999999998</v>
          </cell>
          <cell r="S18">
            <v>2906.8599999999997</v>
          </cell>
          <cell r="T18">
            <v>5556.66</v>
          </cell>
          <cell r="U18">
            <v>3584.4</v>
          </cell>
          <cell r="V18">
            <v>-1972.2599999999998</v>
          </cell>
        </row>
        <row r="19">
          <cell r="A19" t="str">
            <v xml:space="preserve">      - Transferencias</v>
          </cell>
          <cell r="B19">
            <v>3951.8999999999996</v>
          </cell>
          <cell r="C19">
            <v>3284.7</v>
          </cell>
          <cell r="D19">
            <v>3313.4000000000005</v>
          </cell>
          <cell r="E19">
            <v>10550</v>
          </cell>
          <cell r="F19">
            <v>4367.8</v>
          </cell>
          <cell r="G19">
            <v>4988.1000000000004</v>
          </cell>
          <cell r="H19">
            <v>5959.2999999999993</v>
          </cell>
          <cell r="I19">
            <v>15315.2</v>
          </cell>
          <cell r="J19">
            <v>25865.200000000001</v>
          </cell>
          <cell r="K19">
            <v>5323.7100000000009</v>
          </cell>
          <cell r="L19">
            <v>4991.9000000000005</v>
          </cell>
          <cell r="M19">
            <v>5013.4599999999991</v>
          </cell>
          <cell r="N19">
            <v>15329.07</v>
          </cell>
          <cell r="O19">
            <v>5299.76</v>
          </cell>
          <cell r="P19">
            <v>5277.4599999999991</v>
          </cell>
          <cell r="Q19">
            <v>5539.56</v>
          </cell>
          <cell r="R19">
            <v>16116.779999999999</v>
          </cell>
          <cell r="S19">
            <v>31445.85</v>
          </cell>
          <cell r="T19">
            <v>57311.05</v>
          </cell>
          <cell r="U19">
            <v>27338.49</v>
          </cell>
          <cell r="V19">
            <v>-29972.560000000001</v>
          </cell>
        </row>
        <row r="20">
          <cell r="A20" t="str">
            <v xml:space="preserve">          Corrientes</v>
          </cell>
          <cell r="B20">
            <v>2299.7999999999997</v>
          </cell>
          <cell r="C20">
            <v>2508.1</v>
          </cell>
          <cell r="D20">
            <v>2640.1000000000004</v>
          </cell>
          <cell r="E20">
            <v>7448</v>
          </cell>
          <cell r="F20">
            <v>2929.3</v>
          </cell>
          <cell r="G20">
            <v>3592.5</v>
          </cell>
          <cell r="H20">
            <v>4210.8999999999996</v>
          </cell>
          <cell r="I20">
            <v>10732.7</v>
          </cell>
          <cell r="J20">
            <v>18180.7</v>
          </cell>
          <cell r="K20">
            <v>3782.9100000000003</v>
          </cell>
          <cell r="L20">
            <v>3423.7000000000003</v>
          </cell>
          <cell r="M20">
            <v>3471.1199999999994</v>
          </cell>
          <cell r="N20">
            <v>10677.73</v>
          </cell>
          <cell r="O20">
            <v>3691.02</v>
          </cell>
          <cell r="P20">
            <v>3701.8199999999993</v>
          </cell>
          <cell r="Q20">
            <v>4011.82</v>
          </cell>
          <cell r="R20">
            <v>11404.66</v>
          </cell>
          <cell r="S20">
            <v>22082.39</v>
          </cell>
          <cell r="T20">
            <v>40263.089999999997</v>
          </cell>
          <cell r="U20">
            <v>20576.061999999998</v>
          </cell>
          <cell r="V20">
            <v>-19687.027999999998</v>
          </cell>
        </row>
        <row r="21">
          <cell r="A21" t="str">
            <v xml:space="preserve">          Capital</v>
          </cell>
          <cell r="B21">
            <v>1652.1</v>
          </cell>
          <cell r="C21">
            <v>776.6</v>
          </cell>
          <cell r="D21">
            <v>673.3</v>
          </cell>
          <cell r="E21">
            <v>3102</v>
          </cell>
          <cell r="F21">
            <v>1438.5</v>
          </cell>
          <cell r="G21">
            <v>1395.6000000000001</v>
          </cell>
          <cell r="H21">
            <v>1748.4</v>
          </cell>
          <cell r="I21">
            <v>4582.5</v>
          </cell>
          <cell r="J21">
            <v>7684.5</v>
          </cell>
          <cell r="K21">
            <v>1540.8000000000002</v>
          </cell>
          <cell r="L21">
            <v>1568.2</v>
          </cell>
          <cell r="M21">
            <v>1542.3400000000001</v>
          </cell>
          <cell r="N21">
            <v>4651.34</v>
          </cell>
          <cell r="O21">
            <v>1608.74</v>
          </cell>
          <cell r="P21">
            <v>1575.6399999999999</v>
          </cell>
          <cell r="Q21">
            <v>1527.74</v>
          </cell>
          <cell r="R21">
            <v>4712.12</v>
          </cell>
          <cell r="S21">
            <v>9363.4599999999991</v>
          </cell>
          <cell r="T21">
            <v>17047.96</v>
          </cell>
          <cell r="U21">
            <v>6762.4279999999999</v>
          </cell>
          <cell r="V21">
            <v>-10285.531999999999</v>
          </cell>
        </row>
        <row r="22">
          <cell r="A22" t="str">
            <v xml:space="preserve">      - Inversión Financiera</v>
          </cell>
          <cell r="B22">
            <v>32.9</v>
          </cell>
          <cell r="C22">
            <v>0</v>
          </cell>
          <cell r="D22">
            <v>0</v>
          </cell>
          <cell r="E22">
            <v>32.9</v>
          </cell>
          <cell r="F22">
            <v>2</v>
          </cell>
          <cell r="G22">
            <v>51.2</v>
          </cell>
          <cell r="H22">
            <v>53.4</v>
          </cell>
          <cell r="I22">
            <v>106.6</v>
          </cell>
          <cell r="J22">
            <v>139.5</v>
          </cell>
          <cell r="K22">
            <v>9.9</v>
          </cell>
          <cell r="L22">
            <v>19.3</v>
          </cell>
          <cell r="M22">
            <v>19.259</v>
          </cell>
          <cell r="N22">
            <v>48.459000000000003</v>
          </cell>
          <cell r="O22">
            <v>19.259</v>
          </cell>
          <cell r="P22">
            <v>19.259</v>
          </cell>
          <cell r="Q22">
            <v>879.53899999999987</v>
          </cell>
          <cell r="R22">
            <v>918.0569999999999</v>
          </cell>
          <cell r="S22">
            <v>966.51599999999985</v>
          </cell>
          <cell r="T22">
            <v>1106.0159999999998</v>
          </cell>
          <cell r="U22">
            <v>1537.1</v>
          </cell>
          <cell r="V22">
            <v>431.08400000000006</v>
          </cell>
        </row>
        <row r="23">
          <cell r="A23" t="str">
            <v xml:space="preserve">      - Gastos Figurativos (OD)</v>
          </cell>
          <cell r="B23">
            <v>1089.3</v>
          </cell>
          <cell r="C23">
            <v>1321.3</v>
          </cell>
          <cell r="D23">
            <v>1048.3999999999999</v>
          </cell>
          <cell r="E23">
            <v>3459</v>
          </cell>
          <cell r="F23">
            <v>1006.4000000000001</v>
          </cell>
          <cell r="G23">
            <v>1143.0999999999999</v>
          </cell>
          <cell r="H23">
            <v>938.6</v>
          </cell>
          <cell r="I23">
            <v>3088.1</v>
          </cell>
          <cell r="J23">
            <v>6547.1</v>
          </cell>
          <cell r="K23">
            <v>1341</v>
          </cell>
          <cell r="L23">
            <v>1141.9000000000001</v>
          </cell>
          <cell r="M23">
            <v>1158.3</v>
          </cell>
          <cell r="N23">
            <v>3641.2</v>
          </cell>
          <cell r="O23">
            <v>1166.0999999999999</v>
          </cell>
          <cell r="P23">
            <v>1166.0999999999999</v>
          </cell>
          <cell r="Q23">
            <v>1311.4</v>
          </cell>
          <cell r="R23">
            <v>3643.6</v>
          </cell>
          <cell r="S23">
            <v>7284.7999999999993</v>
          </cell>
          <cell r="T23">
            <v>13831.9</v>
          </cell>
          <cell r="U23">
            <v>7107.9</v>
          </cell>
          <cell r="V23">
            <v>-6724</v>
          </cell>
        </row>
        <row r="24">
          <cell r="A24" t="str">
            <v xml:space="preserve">      - Inversión Real Directa</v>
          </cell>
          <cell r="B24">
            <v>283.89999999999998</v>
          </cell>
          <cell r="C24">
            <v>69.7</v>
          </cell>
          <cell r="D24">
            <v>75.599999999999994</v>
          </cell>
          <cell r="E24">
            <v>429.19999999999993</v>
          </cell>
          <cell r="F24">
            <v>68.7</v>
          </cell>
          <cell r="G24">
            <v>79.599999999999994</v>
          </cell>
          <cell r="H24">
            <v>104.8</v>
          </cell>
          <cell r="I24">
            <v>253.10000000000002</v>
          </cell>
          <cell r="J24">
            <v>682.3</v>
          </cell>
          <cell r="K24">
            <v>124.5</v>
          </cell>
          <cell r="L24">
            <v>150</v>
          </cell>
          <cell r="M24">
            <v>150</v>
          </cell>
          <cell r="N24">
            <v>424.5</v>
          </cell>
          <cell r="O24">
            <v>150</v>
          </cell>
          <cell r="P24">
            <v>150</v>
          </cell>
          <cell r="Q24">
            <v>150</v>
          </cell>
          <cell r="R24">
            <v>450</v>
          </cell>
          <cell r="S24">
            <v>874.5</v>
          </cell>
          <cell r="T24">
            <v>1556.8</v>
          </cell>
          <cell r="U24">
            <v>1174.0999999999999</v>
          </cell>
          <cell r="V24">
            <v>-382.70000000000005</v>
          </cell>
        </row>
        <row r="25">
          <cell r="A25" t="str">
            <v xml:space="preserve">      - Instit. De Seg. Social</v>
          </cell>
          <cell r="B25">
            <v>1473.3</v>
          </cell>
          <cell r="C25">
            <v>1371.6</v>
          </cell>
          <cell r="D25">
            <v>1377.8</v>
          </cell>
          <cell r="E25">
            <v>4222.7</v>
          </cell>
          <cell r="F25">
            <v>1334</v>
          </cell>
          <cell r="G25">
            <v>1337.5</v>
          </cell>
          <cell r="H25">
            <v>1604.6</v>
          </cell>
          <cell r="I25">
            <v>4276.1000000000004</v>
          </cell>
          <cell r="J25">
            <v>8498.7999999999993</v>
          </cell>
          <cell r="K25">
            <v>1689.65171644</v>
          </cell>
          <cell r="L25">
            <v>1456.1376700376929</v>
          </cell>
          <cell r="M25">
            <v>1519.2</v>
          </cell>
          <cell r="N25">
            <v>4664.9893864776932</v>
          </cell>
          <cell r="O25">
            <v>1474.1</v>
          </cell>
          <cell r="P25">
            <v>1504.9</v>
          </cell>
          <cell r="Q25">
            <v>1485.2000000000003</v>
          </cell>
          <cell r="R25">
            <v>4464.2000000000007</v>
          </cell>
          <cell r="S25">
            <v>9129.1893864776939</v>
          </cell>
          <cell r="T25">
            <v>17627.989386477693</v>
          </cell>
          <cell r="U25">
            <v>12159.400000000001</v>
          </cell>
          <cell r="V25">
            <v>-5468.5893864776917</v>
          </cell>
        </row>
        <row r="26">
          <cell r="A26" t="str">
            <v xml:space="preserve">      - Otros gastos primarios </v>
          </cell>
          <cell r="B26">
            <v>3</v>
          </cell>
          <cell r="C26">
            <v>2.8</v>
          </cell>
          <cell r="D26">
            <v>1.9</v>
          </cell>
          <cell r="E26">
            <v>7.6999999999999993</v>
          </cell>
          <cell r="F26">
            <v>1.1000000000000001</v>
          </cell>
          <cell r="G26">
            <v>0.8</v>
          </cell>
          <cell r="H26">
            <v>0.1</v>
          </cell>
          <cell r="I26">
            <v>2</v>
          </cell>
          <cell r="J26">
            <v>9.6999999999999993</v>
          </cell>
          <cell r="K26">
            <v>0.64</v>
          </cell>
          <cell r="L26">
            <v>0.60000000000000009</v>
          </cell>
          <cell r="M26">
            <v>0.6</v>
          </cell>
          <cell r="N26">
            <v>1.8400000000000003</v>
          </cell>
          <cell r="O26">
            <v>0.6</v>
          </cell>
          <cell r="P26">
            <v>0.6</v>
          </cell>
          <cell r="Q26">
            <v>0.6</v>
          </cell>
          <cell r="R26">
            <v>1.7999999999999998</v>
          </cell>
          <cell r="S26">
            <v>3.64</v>
          </cell>
          <cell r="T26">
            <v>13.34</v>
          </cell>
          <cell r="U26">
            <v>41.7</v>
          </cell>
          <cell r="V26">
            <v>28.360000000000003</v>
          </cell>
        </row>
        <row r="28">
          <cell r="E28">
            <v>16129.331902150399</v>
          </cell>
          <cell r="I28">
            <v>24194.747320925999</v>
          </cell>
          <cell r="J28">
            <v>40324.079223076398</v>
          </cell>
          <cell r="N28">
            <v>14126.44095366</v>
          </cell>
          <cell r="R28">
            <v>20400.5</v>
          </cell>
          <cell r="S28">
            <v>34526.94095366</v>
          </cell>
        </row>
        <row r="29">
          <cell r="E29">
            <v>489.09957215040004</v>
          </cell>
          <cell r="I29">
            <v>1563.4261097459998</v>
          </cell>
          <cell r="J29">
            <v>2052.5256818963999</v>
          </cell>
          <cell r="N29">
            <v>991.40251965999994</v>
          </cell>
          <cell r="R29">
            <v>1262.3</v>
          </cell>
          <cell r="S29">
            <v>2253.7025196599998</v>
          </cell>
        </row>
        <row r="30">
          <cell r="E30">
            <v>290.34057215040002</v>
          </cell>
          <cell r="I30">
            <v>547.74</v>
          </cell>
          <cell r="J30">
            <v>838.08057215040003</v>
          </cell>
          <cell r="N30">
            <v>315.90251966</v>
          </cell>
          <cell r="R30">
            <v>401.99999999999994</v>
          </cell>
          <cell r="S30">
            <v>717.90251965999994</v>
          </cell>
        </row>
        <row r="31">
          <cell r="A31" t="str">
            <v xml:space="preserve">      LETRAS</v>
          </cell>
          <cell r="B31">
            <v>0</v>
          </cell>
          <cell r="C31">
            <v>163.87960000000001</v>
          </cell>
          <cell r="D31">
            <v>126.46097215040001</v>
          </cell>
          <cell r="E31">
            <v>290.34057215040002</v>
          </cell>
          <cell r="F31">
            <v>0</v>
          </cell>
          <cell r="G31">
            <v>547.74</v>
          </cell>
          <cell r="H31">
            <v>0</v>
          </cell>
          <cell r="I31">
            <v>547.74</v>
          </cell>
          <cell r="J31">
            <v>838.08057215040003</v>
          </cell>
          <cell r="K31">
            <v>0</v>
          </cell>
          <cell r="L31">
            <v>181.42</v>
          </cell>
          <cell r="M31">
            <v>134.48251966000001</v>
          </cell>
          <cell r="N31">
            <v>315.90251966</v>
          </cell>
          <cell r="O31">
            <v>0</v>
          </cell>
          <cell r="P31">
            <v>401.99999999999994</v>
          </cell>
          <cell r="Q31">
            <v>0</v>
          </cell>
          <cell r="R31">
            <v>401.99999999999994</v>
          </cell>
          <cell r="S31">
            <v>717.90251965999994</v>
          </cell>
          <cell r="T31">
            <v>1555.9830918104001</v>
          </cell>
          <cell r="U31">
            <v>17237.597438615401</v>
          </cell>
        </row>
        <row r="32">
          <cell r="A32" t="str">
            <v xml:space="preserve">      BONOS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A33" t="str">
            <v xml:space="preserve">      OTROS</v>
          </cell>
          <cell r="B33">
            <v>0</v>
          </cell>
          <cell r="C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198.75899999999999</v>
          </cell>
          <cell r="I34">
            <v>1015.6861097459999</v>
          </cell>
          <cell r="J34">
            <v>1214.4451097459998</v>
          </cell>
          <cell r="N34">
            <v>675.5</v>
          </cell>
          <cell r="R34">
            <v>860.3</v>
          </cell>
          <cell r="S34">
            <v>1535.8</v>
          </cell>
        </row>
        <row r="35">
          <cell r="E35">
            <v>0</v>
          </cell>
          <cell r="I35">
            <v>0</v>
          </cell>
          <cell r="J35">
            <v>0</v>
          </cell>
          <cell r="N35">
            <v>0</v>
          </cell>
          <cell r="R35">
            <v>0</v>
          </cell>
          <cell r="S35">
            <v>0</v>
          </cell>
        </row>
        <row r="36">
          <cell r="E36">
            <v>0</v>
          </cell>
          <cell r="I36">
            <v>0</v>
          </cell>
          <cell r="J36">
            <v>0</v>
          </cell>
          <cell r="N36">
            <v>0</v>
          </cell>
          <cell r="R36">
            <v>0</v>
          </cell>
          <cell r="S36">
            <v>0</v>
          </cell>
        </row>
        <row r="37">
          <cell r="E37">
            <v>0</v>
          </cell>
          <cell r="I37">
            <v>1015.6861097459999</v>
          </cell>
          <cell r="J37">
            <v>1015.6861097459999</v>
          </cell>
          <cell r="N37">
            <v>675.5</v>
          </cell>
          <cell r="R37">
            <v>0</v>
          </cell>
          <cell r="S37">
            <v>675.5</v>
          </cell>
        </row>
        <row r="38">
          <cell r="E38">
            <v>198.75899999999999</v>
          </cell>
          <cell r="I38">
            <v>0</v>
          </cell>
          <cell r="J38">
            <v>198.75899999999999</v>
          </cell>
          <cell r="N38">
            <v>0</v>
          </cell>
          <cell r="R38">
            <v>860.3</v>
          </cell>
          <cell r="S38">
            <v>860.3</v>
          </cell>
        </row>
        <row r="39">
          <cell r="E39">
            <v>0</v>
          </cell>
          <cell r="I39">
            <v>0</v>
          </cell>
          <cell r="J39">
            <v>0</v>
          </cell>
          <cell r="N39">
            <v>0</v>
          </cell>
          <cell r="R39">
            <v>0</v>
          </cell>
          <cell r="S39">
            <v>0</v>
          </cell>
        </row>
        <row r="40">
          <cell r="A40" t="str">
            <v xml:space="preserve">       Bilaterales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A41" t="str">
            <v xml:space="preserve">       Invers.Instit. Locales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15640.232329999999</v>
          </cell>
          <cell r="I42">
            <v>22631.321211179998</v>
          </cell>
          <cell r="J42">
            <v>38271.553541179994</v>
          </cell>
          <cell r="N42">
            <v>13135.038434</v>
          </cell>
          <cell r="R42">
            <v>19138.2</v>
          </cell>
          <cell r="S42">
            <v>32273.238433999999</v>
          </cell>
        </row>
        <row r="43">
          <cell r="E43">
            <v>6240.2323299999998</v>
          </cell>
          <cell r="I43">
            <v>11731.32121118</v>
          </cell>
          <cell r="J43">
            <v>17971.553541180001</v>
          </cell>
          <cell r="N43">
            <v>4855.0384340000001</v>
          </cell>
          <cell r="R43">
            <v>3038.2</v>
          </cell>
          <cell r="S43">
            <v>7893.2384339999999</v>
          </cell>
        </row>
        <row r="44">
          <cell r="A44" t="str">
            <v xml:space="preserve">      LETRAS</v>
          </cell>
          <cell r="B44">
            <v>150</v>
          </cell>
          <cell r="C44">
            <v>585.71241299999997</v>
          </cell>
          <cell r="D44">
            <v>2904.5199170000001</v>
          </cell>
          <cell r="E44">
            <v>3640.2323299999998</v>
          </cell>
          <cell r="F44">
            <v>2700</v>
          </cell>
          <cell r="G44">
            <v>0</v>
          </cell>
          <cell r="H44">
            <v>717</v>
          </cell>
          <cell r="I44">
            <v>3417</v>
          </cell>
          <cell r="J44">
            <v>7057.2323299999998</v>
          </cell>
          <cell r="K44">
            <v>150</v>
          </cell>
          <cell r="L44">
            <v>1034.9384340000001</v>
          </cell>
          <cell r="M44">
            <v>2270.1</v>
          </cell>
          <cell r="N44">
            <v>3455.0384340000001</v>
          </cell>
          <cell r="O44">
            <v>89.600000000000023</v>
          </cell>
          <cell r="P44">
            <v>1291.5999999999999</v>
          </cell>
          <cell r="Q44">
            <v>1257</v>
          </cell>
          <cell r="R44">
            <v>2638.2</v>
          </cell>
          <cell r="S44">
            <v>6093.2384339999999</v>
          </cell>
          <cell r="T44">
            <v>13150.470764000002</v>
          </cell>
          <cell r="U44">
            <v>-8436.1727796599971</v>
          </cell>
          <cell r="V44">
            <v>3920</v>
          </cell>
        </row>
        <row r="45">
          <cell r="A45" t="str">
            <v xml:space="preserve">      BONOS</v>
          </cell>
          <cell r="B45">
            <v>0</v>
          </cell>
          <cell r="D45">
            <v>2600</v>
          </cell>
          <cell r="E45">
            <v>2600</v>
          </cell>
          <cell r="F45">
            <v>2713.0967350000001</v>
          </cell>
          <cell r="G45">
            <v>0</v>
          </cell>
          <cell r="H45">
            <v>5601.2244761800002</v>
          </cell>
          <cell r="I45">
            <v>8314.3212111800003</v>
          </cell>
          <cell r="J45">
            <v>10914.32121118</v>
          </cell>
          <cell r="K45">
            <v>0</v>
          </cell>
          <cell r="L45">
            <v>0</v>
          </cell>
          <cell r="M45">
            <v>1400</v>
          </cell>
          <cell r="N45">
            <v>1400</v>
          </cell>
          <cell r="O45">
            <v>400</v>
          </cell>
          <cell r="P45">
            <v>0</v>
          </cell>
          <cell r="Q45">
            <v>0</v>
          </cell>
          <cell r="R45">
            <v>400</v>
          </cell>
          <cell r="S45">
            <v>1800</v>
          </cell>
          <cell r="T45">
            <v>12714.32121118</v>
          </cell>
          <cell r="U45">
            <v>12714.32121118</v>
          </cell>
          <cell r="V45">
            <v>5834.1315233304013</v>
          </cell>
        </row>
        <row r="46">
          <cell r="A46" t="str">
            <v xml:space="preserve">      OTROS</v>
          </cell>
          <cell r="B46">
            <v>0</v>
          </cell>
          <cell r="C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7252</v>
          </cell>
          <cell r="V46">
            <v>4432.1315233304013</v>
          </cell>
        </row>
        <row r="47">
          <cell r="E47">
            <v>1400</v>
          </cell>
          <cell r="I47">
            <v>2700</v>
          </cell>
          <cell r="J47">
            <v>4100</v>
          </cell>
          <cell r="N47">
            <v>5800</v>
          </cell>
          <cell r="R47">
            <v>800</v>
          </cell>
          <cell r="S47">
            <v>6600</v>
          </cell>
        </row>
        <row r="48">
          <cell r="E48">
            <v>8000</v>
          </cell>
          <cell r="I48">
            <v>8200</v>
          </cell>
          <cell r="J48">
            <v>16200</v>
          </cell>
          <cell r="N48">
            <v>2480</v>
          </cell>
          <cell r="R48">
            <v>15300</v>
          </cell>
          <cell r="S48">
            <v>17780</v>
          </cell>
        </row>
        <row r="50">
          <cell r="E50">
            <v>291.93050019406542</v>
          </cell>
          <cell r="I50">
            <v>-29.112186450433668</v>
          </cell>
          <cell r="J50">
            <v>262.81831374363173</v>
          </cell>
          <cell r="N50">
            <v>594.21921643999963</v>
          </cell>
          <cell r="R50">
            <v>991.10000000000014</v>
          </cell>
          <cell r="S50">
            <v>1585.3192164399998</v>
          </cell>
        </row>
        <row r="52">
          <cell r="E52">
            <v>0</v>
          </cell>
          <cell r="I52">
            <v>0</v>
          </cell>
          <cell r="J52">
            <v>0</v>
          </cell>
          <cell r="N52">
            <v>0</v>
          </cell>
          <cell r="R52">
            <v>0</v>
          </cell>
          <cell r="S52">
            <v>0</v>
          </cell>
        </row>
        <row r="53">
          <cell r="E53">
            <v>139.31161528999985</v>
          </cell>
          <cell r="I53">
            <v>-355.94274492999989</v>
          </cell>
          <cell r="J53">
            <v>-216.63112964000004</v>
          </cell>
          <cell r="N53">
            <v>215.55171644000006</v>
          </cell>
          <cell r="R53">
            <v>-31.899999999999864</v>
          </cell>
          <cell r="S53">
            <v>183.6517164400002</v>
          </cell>
        </row>
        <row r="54">
          <cell r="E54">
            <v>134.01613785184185</v>
          </cell>
          <cell r="I54">
            <v>154.65065064999999</v>
          </cell>
          <cell r="J54">
            <v>288.66678850184184</v>
          </cell>
          <cell r="N54">
            <v>150.02149999999961</v>
          </cell>
          <cell r="R54">
            <v>0</v>
          </cell>
          <cell r="S54">
            <v>150.02149999999961</v>
          </cell>
        </row>
        <row r="55">
          <cell r="E55">
            <v>-195</v>
          </cell>
          <cell r="I55">
            <v>-20</v>
          </cell>
          <cell r="J55">
            <v>-215</v>
          </cell>
          <cell r="N55">
            <v>0</v>
          </cell>
          <cell r="R55">
            <v>195</v>
          </cell>
          <cell r="S55">
            <v>195</v>
          </cell>
        </row>
        <row r="56">
          <cell r="E56">
            <v>244.49599999999998</v>
          </cell>
          <cell r="I56">
            <v>247.72900000000001</v>
          </cell>
          <cell r="J56">
            <v>492.22500000000002</v>
          </cell>
          <cell r="N56">
            <v>228.64600000000002</v>
          </cell>
          <cell r="R56">
            <v>828</v>
          </cell>
          <cell r="S56">
            <v>1056.646</v>
          </cell>
        </row>
        <row r="57">
          <cell r="E57">
            <v>10.408185849285818</v>
          </cell>
          <cell r="I57">
            <v>254.80712400020388</v>
          </cell>
          <cell r="J57">
            <v>265.2153098494897</v>
          </cell>
          <cell r="N57">
            <v>0</v>
          </cell>
          <cell r="R57">
            <v>0</v>
          </cell>
          <cell r="S57">
            <v>0</v>
          </cell>
        </row>
        <row r="58">
          <cell r="E58">
            <v>-41.301438797062126</v>
          </cell>
          <cell r="I58">
            <v>-310.35621617063771</v>
          </cell>
          <cell r="J58">
            <v>-351.65765496769984</v>
          </cell>
          <cell r="N58">
            <v>0</v>
          </cell>
          <cell r="R58">
            <v>0</v>
          </cell>
          <cell r="S58">
            <v>0</v>
          </cell>
        </row>
        <row r="60">
          <cell r="E60">
            <v>1078.6080000000002</v>
          </cell>
          <cell r="I60">
            <v>1467.4019453363223</v>
          </cell>
          <cell r="J60">
            <v>2546.0099453363227</v>
          </cell>
          <cell r="N60">
            <v>1153.2511626747273</v>
          </cell>
          <cell r="R60">
            <v>1223.5564491674495</v>
          </cell>
          <cell r="S60">
            <v>2376.8076118421768</v>
          </cell>
        </row>
        <row r="61">
          <cell r="E61">
            <v>172.79099999999997</v>
          </cell>
          <cell r="I61">
            <v>232.72886</v>
          </cell>
          <cell r="J61">
            <v>405.51985999999999</v>
          </cell>
          <cell r="N61">
            <v>91.100609674727323</v>
          </cell>
          <cell r="R61">
            <v>204.76844916744946</v>
          </cell>
          <cell r="S61">
            <v>295.8690588421768</v>
          </cell>
        </row>
        <row r="62">
          <cell r="E62">
            <v>43.592000000000006</v>
          </cell>
          <cell r="I62">
            <v>144.23836</v>
          </cell>
          <cell r="J62">
            <v>187.83036000000001</v>
          </cell>
          <cell r="N62">
            <v>86.800609674727326</v>
          </cell>
          <cell r="R62">
            <v>89.758534666089474</v>
          </cell>
          <cell r="S62">
            <v>176.5591443408168</v>
          </cell>
        </row>
        <row r="63">
          <cell r="E63">
            <v>119.03899999999999</v>
          </cell>
          <cell r="I63">
            <v>80.301500000000004</v>
          </cell>
          <cell r="J63">
            <v>199.34049999999999</v>
          </cell>
          <cell r="N63">
            <v>4.3</v>
          </cell>
          <cell r="R63">
            <v>104.28441854495999</v>
          </cell>
          <cell r="S63">
            <v>108.58441854495999</v>
          </cell>
        </row>
        <row r="64">
          <cell r="E64">
            <v>10.16</v>
          </cell>
          <cell r="I64">
            <v>8.1890000000000001</v>
          </cell>
          <cell r="J64">
            <v>18.349</v>
          </cell>
          <cell r="N64">
            <v>0</v>
          </cell>
          <cell r="R64">
            <v>10.725495956399998</v>
          </cell>
          <cell r="S64">
            <v>10.725495956399998</v>
          </cell>
        </row>
        <row r="65">
          <cell r="E65">
            <v>264.45299999999997</v>
          </cell>
          <cell r="I65">
            <v>478.50878599999999</v>
          </cell>
          <cell r="J65">
            <v>742.96178599999996</v>
          </cell>
          <cell r="N65">
            <v>219.423553</v>
          </cell>
          <cell r="R65">
            <v>429.88800000000009</v>
          </cell>
          <cell r="S65">
            <v>649.31155300000012</v>
          </cell>
        </row>
        <row r="66">
          <cell r="E66">
            <v>114.738</v>
          </cell>
          <cell r="I66">
            <v>238.84248600000001</v>
          </cell>
          <cell r="J66">
            <v>353.58048600000001</v>
          </cell>
          <cell r="N66">
            <v>108.60255299999999</v>
          </cell>
          <cell r="R66">
            <v>221.59100000000001</v>
          </cell>
          <cell r="S66">
            <v>330.19355300000001</v>
          </cell>
        </row>
        <row r="67">
          <cell r="E67">
            <v>119.65900000000001</v>
          </cell>
          <cell r="I67">
            <v>220.61829999999998</v>
          </cell>
          <cell r="J67">
            <v>340.27729999999997</v>
          </cell>
          <cell r="N67">
            <v>103.102</v>
          </cell>
          <cell r="R67">
            <v>185.31900000000005</v>
          </cell>
          <cell r="S67">
            <v>288.42100000000005</v>
          </cell>
        </row>
        <row r="68">
          <cell r="E68">
            <v>30.056000000000004</v>
          </cell>
          <cell r="I68">
            <v>19.048000000000002</v>
          </cell>
          <cell r="J68">
            <v>49.104000000000006</v>
          </cell>
          <cell r="N68">
            <v>7.7189999999999994</v>
          </cell>
          <cell r="R68">
            <v>22.978000000000002</v>
          </cell>
          <cell r="S68">
            <v>30.697000000000003</v>
          </cell>
        </row>
        <row r="69">
          <cell r="E69">
            <v>5</v>
          </cell>
          <cell r="I69">
            <v>0</v>
          </cell>
          <cell r="J69">
            <v>5</v>
          </cell>
          <cell r="N69">
            <v>3.8269999999999995</v>
          </cell>
          <cell r="R69">
            <v>0</v>
          </cell>
          <cell r="S69">
            <v>3.8269999999999995</v>
          </cell>
        </row>
        <row r="70">
          <cell r="E70">
            <v>0</v>
          </cell>
          <cell r="I70">
            <v>0</v>
          </cell>
          <cell r="J70">
            <v>0</v>
          </cell>
          <cell r="N70">
            <v>0.45300000000000001</v>
          </cell>
          <cell r="R70">
            <v>0</v>
          </cell>
          <cell r="S70">
            <v>0.45300000000000001</v>
          </cell>
        </row>
        <row r="71">
          <cell r="E71">
            <v>5</v>
          </cell>
          <cell r="I71">
            <v>0</v>
          </cell>
          <cell r="J71">
            <v>5</v>
          </cell>
          <cell r="N71">
            <v>3.3739999999999997</v>
          </cell>
          <cell r="R71">
            <v>0</v>
          </cell>
          <cell r="S71">
            <v>3.3739999999999997</v>
          </cell>
        </row>
        <row r="72">
          <cell r="E72">
            <v>326.65500000000003</v>
          </cell>
          <cell r="I72">
            <v>216.11949999999999</v>
          </cell>
          <cell r="J72">
            <v>542.77449999999999</v>
          </cell>
          <cell r="N72">
            <v>324</v>
          </cell>
          <cell r="R72">
            <v>324</v>
          </cell>
          <cell r="S72">
            <v>648</v>
          </cell>
        </row>
        <row r="73">
          <cell r="E73">
            <v>0</v>
          </cell>
          <cell r="I73">
            <v>0</v>
          </cell>
          <cell r="J73">
            <v>0</v>
          </cell>
          <cell r="N73">
            <v>0</v>
          </cell>
          <cell r="R73">
            <v>0</v>
          </cell>
          <cell r="S73">
            <v>0</v>
          </cell>
        </row>
        <row r="74">
          <cell r="E74">
            <v>211.09899999999999</v>
          </cell>
          <cell r="I74">
            <v>217.42375600000003</v>
          </cell>
          <cell r="J74">
            <v>428.52275600000002</v>
          </cell>
          <cell r="N74">
            <v>234.89999999999998</v>
          </cell>
          <cell r="R74">
            <v>234.89999999999998</v>
          </cell>
          <cell r="S74">
            <v>469.79999999999995</v>
          </cell>
        </row>
        <row r="75">
          <cell r="E75">
            <v>74.697000000000003</v>
          </cell>
          <cell r="I75">
            <v>299.65794533632226</v>
          </cell>
          <cell r="J75">
            <v>374.35494533632226</v>
          </cell>
          <cell r="N75">
            <v>250</v>
          </cell>
          <cell r="R75">
            <v>0</v>
          </cell>
          <cell r="S75">
            <v>250</v>
          </cell>
        </row>
        <row r="76">
          <cell r="E76">
            <v>23.912999999999954</v>
          </cell>
          <cell r="I76">
            <v>22.963098000000024</v>
          </cell>
          <cell r="J76">
            <v>46.876097999999978</v>
          </cell>
          <cell r="N76">
            <v>30</v>
          </cell>
          <cell r="R76">
            <v>30</v>
          </cell>
          <cell r="S76">
            <v>60</v>
          </cell>
        </row>
        <row r="78">
          <cell r="E78">
            <v>359.53</v>
          </cell>
          <cell r="I78">
            <v>274.65899999999999</v>
          </cell>
          <cell r="J78">
            <v>634.18899999999996</v>
          </cell>
          <cell r="N78">
            <v>241.54262232343174</v>
          </cell>
          <cell r="R78">
            <v>241.16472948786736</v>
          </cell>
          <cell r="S78">
            <v>482.70735181129908</v>
          </cell>
        </row>
        <row r="80">
          <cell r="E80">
            <v>0</v>
          </cell>
          <cell r="I80">
            <v>0</v>
          </cell>
          <cell r="N80">
            <v>0</v>
          </cell>
          <cell r="R80">
            <v>7000</v>
          </cell>
          <cell r="S80">
            <v>7000</v>
          </cell>
        </row>
        <row r="81">
          <cell r="U81">
            <v>-787.2645193401986</v>
          </cell>
          <cell r="V81">
            <v>31.855999999999966</v>
          </cell>
        </row>
        <row r="82">
          <cell r="A82" t="str">
            <v xml:space="preserve"> .Vta. de Activos Financ.</v>
          </cell>
          <cell r="B82">
            <v>2363.3144961900002</v>
          </cell>
          <cell r="C82">
            <v>3298.1360999999997</v>
          </cell>
          <cell r="D82">
            <v>1789.4571232999999</v>
          </cell>
          <cell r="E82">
            <v>7450.9077194899992</v>
          </cell>
          <cell r="F82">
            <v>4592.2141732999999</v>
          </cell>
          <cell r="G82">
            <v>2928.5926272000002</v>
          </cell>
          <cell r="H82">
            <v>7116.6658362149992</v>
          </cell>
          <cell r="I82">
            <v>14637.472636715</v>
          </cell>
          <cell r="J82">
            <v>22088.380356204998</v>
          </cell>
          <cell r="K82">
            <v>15</v>
          </cell>
          <cell r="L82">
            <v>501.79263065980001</v>
          </cell>
          <cell r="M82">
            <v>15</v>
          </cell>
          <cell r="N82">
            <v>531.79263065980001</v>
          </cell>
          <cell r="O82">
            <v>15</v>
          </cell>
          <cell r="P82">
            <v>15</v>
          </cell>
          <cell r="Q82">
            <v>15</v>
          </cell>
          <cell r="R82">
            <v>45</v>
          </cell>
          <cell r="S82">
            <v>576.79263065980001</v>
          </cell>
          <cell r="T82">
            <v>22665.172986864796</v>
          </cell>
          <cell r="U82">
            <v>56.443582805000005</v>
          </cell>
          <cell r="V82">
            <v>819.35599999999999</v>
          </cell>
        </row>
        <row r="83">
          <cell r="A83" t="str">
            <v xml:space="preserve">    Títulos y Valores</v>
          </cell>
          <cell r="B83">
            <v>680.82890078999992</v>
          </cell>
          <cell r="C83">
            <v>204.07599999999999</v>
          </cell>
          <cell r="D83">
            <v>0</v>
          </cell>
          <cell r="E83">
            <v>884.90490078999994</v>
          </cell>
          <cell r="F83">
            <v>0</v>
          </cell>
          <cell r="G83">
            <v>0</v>
          </cell>
          <cell r="H83">
            <v>1442.162682015</v>
          </cell>
          <cell r="I83">
            <v>1442.162682015</v>
          </cell>
          <cell r="J83">
            <v>2327.0675828049998</v>
          </cell>
          <cell r="K83">
            <v>0</v>
          </cell>
          <cell r="L83">
            <v>204.07599999999999</v>
          </cell>
          <cell r="M83">
            <v>0</v>
          </cell>
          <cell r="N83">
            <v>204.07599999999999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204.07599999999999</v>
          </cell>
          <cell r="T83">
            <v>2531.1435828049998</v>
          </cell>
          <cell r="U83">
            <v>-848.76251853000031</v>
          </cell>
          <cell r="V83">
            <v>-848.76251853000031</v>
          </cell>
        </row>
        <row r="84">
          <cell r="E84">
            <v>6508.3811000000005</v>
          </cell>
          <cell r="I84">
            <v>13134.674999999999</v>
          </cell>
          <cell r="J84">
            <v>19643.056100000002</v>
          </cell>
          <cell r="N84">
            <v>36.979380659800015</v>
          </cell>
          <cell r="R84">
            <v>0</v>
          </cell>
          <cell r="S84">
            <v>36.979380659800015</v>
          </cell>
        </row>
        <row r="85">
          <cell r="E85">
            <v>0</v>
          </cell>
          <cell r="I85">
            <v>0</v>
          </cell>
          <cell r="J85">
            <v>0</v>
          </cell>
          <cell r="N85">
            <v>0</v>
          </cell>
          <cell r="R85">
            <v>0</v>
          </cell>
          <cell r="S85">
            <v>0</v>
          </cell>
        </row>
        <row r="86">
          <cell r="E86">
            <v>57.621718700000002</v>
          </cell>
          <cell r="I86">
            <v>60.634954700000002</v>
          </cell>
          <cell r="J86">
            <v>118.25667340000001</v>
          </cell>
          <cell r="N86">
            <v>290.73725000000002</v>
          </cell>
          <cell r="R86">
            <v>45</v>
          </cell>
          <cell r="S86">
            <v>335.73725000000002</v>
          </cell>
        </row>
        <row r="88">
          <cell r="E88">
            <v>43502.710262827241</v>
          </cell>
          <cell r="I88">
            <v>35814.357864817779</v>
          </cell>
          <cell r="J88">
            <v>79317.06812764502</v>
          </cell>
          <cell r="N88">
            <v>27861.344124451167</v>
          </cell>
          <cell r="R88">
            <v>53898.651095955633</v>
          </cell>
          <cell r="S88">
            <v>81759.995220406796</v>
          </cell>
        </row>
        <row r="90">
          <cell r="E90">
            <v>32544.768481827163</v>
          </cell>
          <cell r="I90">
            <v>18378.058459702217</v>
          </cell>
          <cell r="J90">
            <v>50922.826941529376</v>
          </cell>
          <cell r="N90">
            <v>24734.761416838981</v>
          </cell>
          <cell r="R90">
            <v>41450.232783621119</v>
          </cell>
          <cell r="S90">
            <v>66184.994200460103</v>
          </cell>
        </row>
        <row r="92">
          <cell r="E92">
            <v>20867.775860640002</v>
          </cell>
          <cell r="I92">
            <v>12334.570023010001</v>
          </cell>
          <cell r="J92">
            <v>33202.345883650007</v>
          </cell>
          <cell r="N92">
            <v>11654.060540875009</v>
          </cell>
          <cell r="R92">
            <v>29450.325911921729</v>
          </cell>
          <cell r="S92">
            <v>41104.386452796738</v>
          </cell>
        </row>
        <row r="94">
          <cell r="E94">
            <v>1179.1656831799999</v>
          </cell>
          <cell r="I94">
            <v>2499.9800776700004</v>
          </cell>
          <cell r="J94">
            <v>3679.1457608500004</v>
          </cell>
          <cell r="N94">
            <v>2400.0047691592813</v>
          </cell>
          <cell r="R94">
            <v>4605.5965506788561</v>
          </cell>
          <cell r="S94">
            <v>7005.601319838137</v>
          </cell>
        </row>
        <row r="96">
          <cell r="E96">
            <v>55.74222846</v>
          </cell>
          <cell r="I96">
            <v>53.161811569999998</v>
          </cell>
          <cell r="J96">
            <v>108.90404003</v>
          </cell>
          <cell r="N96">
            <v>52.205833007915487</v>
          </cell>
          <cell r="R96">
            <v>47.939558823909294</v>
          </cell>
          <cell r="S96">
            <v>100.14539183182478</v>
          </cell>
        </row>
        <row r="97">
          <cell r="E97">
            <v>125.38759683999955</v>
          </cell>
          <cell r="I97">
            <v>16.20040706</v>
          </cell>
          <cell r="J97">
            <v>141.58800389999953</v>
          </cell>
          <cell r="N97">
            <v>125.73726879625836</v>
          </cell>
          <cell r="R97">
            <v>12.762146064051541</v>
          </cell>
          <cell r="S97">
            <v>138.49941486030991</v>
          </cell>
        </row>
        <row r="98">
          <cell r="E98">
            <v>15.609873670000002</v>
          </cell>
          <cell r="I98">
            <v>14.39527256</v>
          </cell>
          <cell r="J98">
            <v>30.005146230000001</v>
          </cell>
          <cell r="N98">
            <v>12.805490496453029</v>
          </cell>
          <cell r="R98">
            <v>11.128598504051542</v>
          </cell>
          <cell r="S98">
            <v>23.934089000504571</v>
          </cell>
        </row>
        <row r="99">
          <cell r="E99">
            <v>0</v>
          </cell>
          <cell r="I99">
            <v>1.8051345000000001</v>
          </cell>
          <cell r="J99">
            <v>1.8051345000000001</v>
          </cell>
          <cell r="N99">
            <v>0</v>
          </cell>
          <cell r="R99">
            <v>1.63354756</v>
          </cell>
          <cell r="S99">
            <v>1.63354756</v>
          </cell>
        </row>
        <row r="100">
          <cell r="E100">
            <v>109.77772316999955</v>
          </cell>
          <cell r="I100">
            <v>0</v>
          </cell>
          <cell r="J100">
            <v>109.77772316999955</v>
          </cell>
          <cell r="N100">
            <v>112.93177829980533</v>
          </cell>
          <cell r="R100">
            <v>0</v>
          </cell>
          <cell r="S100">
            <v>112.93177829980533</v>
          </cell>
        </row>
        <row r="101">
          <cell r="E101">
            <v>161.53507690000001</v>
          </cell>
          <cell r="I101">
            <v>777.81370083000002</v>
          </cell>
          <cell r="J101">
            <v>939.34877773000005</v>
          </cell>
          <cell r="N101">
            <v>954.95220145000008</v>
          </cell>
          <cell r="R101">
            <v>312.08764631999998</v>
          </cell>
          <cell r="S101">
            <v>1267.0398477700001</v>
          </cell>
        </row>
        <row r="102">
          <cell r="E102">
            <v>0</v>
          </cell>
          <cell r="I102">
            <v>0</v>
          </cell>
          <cell r="J102">
            <v>0</v>
          </cell>
          <cell r="N102">
            <v>0</v>
          </cell>
          <cell r="R102">
            <v>78.75</v>
          </cell>
          <cell r="S102">
            <v>78.75</v>
          </cell>
        </row>
        <row r="103">
          <cell r="E103">
            <v>161.53507690000001</v>
          </cell>
          <cell r="I103">
            <v>777.81370083000002</v>
          </cell>
          <cell r="J103">
            <v>939.34877773000005</v>
          </cell>
          <cell r="N103">
            <v>954.95220145000008</v>
          </cell>
          <cell r="R103">
            <v>233.33764632</v>
          </cell>
          <cell r="S103">
            <v>1188.2898477700001</v>
          </cell>
        </row>
        <row r="104">
          <cell r="E104">
            <v>373.45377626000004</v>
          </cell>
          <cell r="I104">
            <v>372.45106154999996</v>
          </cell>
          <cell r="J104">
            <v>745.90483781</v>
          </cell>
          <cell r="N104">
            <v>411.02652678999993</v>
          </cell>
          <cell r="R104">
            <v>211.17951099999999</v>
          </cell>
          <cell r="S104">
            <v>622.20603778999998</v>
          </cell>
        </row>
        <row r="105">
          <cell r="E105">
            <v>359.53</v>
          </cell>
          <cell r="I105">
            <v>274.65899999999999</v>
          </cell>
          <cell r="J105">
            <v>634.18899999999996</v>
          </cell>
          <cell r="N105">
            <v>241.54262232343174</v>
          </cell>
          <cell r="R105">
            <v>241.16472948786736</v>
          </cell>
          <cell r="S105">
            <v>482.70735181129908</v>
          </cell>
        </row>
        <row r="106">
          <cell r="E106">
            <v>25.431588810000001</v>
          </cell>
          <cell r="I106">
            <v>451.44332347</v>
          </cell>
          <cell r="J106">
            <v>476.87491227999999</v>
          </cell>
          <cell r="N106">
            <v>49.022169595435365</v>
          </cell>
          <cell r="R106">
            <v>1926.6441220908061</v>
          </cell>
          <cell r="S106">
            <v>1975.6662916862415</v>
          </cell>
        </row>
        <row r="107">
          <cell r="E107">
            <v>7.2523095500000005</v>
          </cell>
          <cell r="I107">
            <v>487.04644149000012</v>
          </cell>
          <cell r="J107">
            <v>494.29875104000013</v>
          </cell>
          <cell r="N107">
            <v>553.09775346596643</v>
          </cell>
          <cell r="R107">
            <v>1853.5874060422223</v>
          </cell>
          <cell r="S107">
            <v>2406.6851595081889</v>
          </cell>
        </row>
        <row r="108">
          <cell r="E108">
            <v>70.83310636000023</v>
          </cell>
          <cell r="I108">
            <v>67.204331699999997</v>
          </cell>
          <cell r="J108">
            <v>138.03743806000023</v>
          </cell>
          <cell r="N108">
            <v>12.420393730273998</v>
          </cell>
          <cell r="R108">
            <v>0.23143084999999999</v>
          </cell>
          <cell r="S108">
            <v>12.651824580273999</v>
          </cell>
        </row>
        <row r="110">
          <cell r="E110">
            <v>19688.610177459999</v>
          </cell>
          <cell r="I110">
            <v>9834.5899453399998</v>
          </cell>
          <cell r="J110">
            <v>29523.200122800001</v>
          </cell>
          <cell r="N110">
            <v>9254.055771715728</v>
          </cell>
          <cell r="R110">
            <v>24844.729361242877</v>
          </cell>
          <cell r="S110">
            <v>34098.785132958605</v>
          </cell>
        </row>
        <row r="112">
          <cell r="E112">
            <v>882.82484410000006</v>
          </cell>
          <cell r="I112">
            <v>909.37484428000005</v>
          </cell>
          <cell r="J112">
            <v>1792.1996883800002</v>
          </cell>
          <cell r="N112">
            <v>946.35383734095205</v>
          </cell>
          <cell r="R112">
            <v>959.55520200441333</v>
          </cell>
          <cell r="S112">
            <v>1905.9090393453653</v>
          </cell>
        </row>
        <row r="113">
          <cell r="E113">
            <v>354.34863057000001</v>
          </cell>
          <cell r="I113">
            <v>365.14727646</v>
          </cell>
          <cell r="J113">
            <v>719.49590703000001</v>
          </cell>
          <cell r="N113">
            <v>365.06153186260747</v>
          </cell>
          <cell r="R113">
            <v>376.01043338019895</v>
          </cell>
          <cell r="S113">
            <v>741.07196524280641</v>
          </cell>
        </row>
        <row r="114">
          <cell r="E114">
            <v>354.34863057000001</v>
          </cell>
          <cell r="I114">
            <v>359.46409376999998</v>
          </cell>
          <cell r="J114">
            <v>713.81272433999993</v>
          </cell>
          <cell r="N114">
            <v>365.06153186260747</v>
          </cell>
          <cell r="R114">
            <v>370.32725069019898</v>
          </cell>
          <cell r="S114">
            <v>735.38878255280645</v>
          </cell>
        </row>
        <row r="115">
          <cell r="E115">
            <v>0</v>
          </cell>
          <cell r="I115">
            <v>5.6831826899999998</v>
          </cell>
          <cell r="J115">
            <v>5.6831826899999998</v>
          </cell>
          <cell r="N115">
            <v>0</v>
          </cell>
          <cell r="R115">
            <v>5.6831826900000006</v>
          </cell>
          <cell r="S115">
            <v>5.6831826900000006</v>
          </cell>
        </row>
        <row r="116">
          <cell r="E116">
            <v>7417.2938960000001</v>
          </cell>
          <cell r="I116">
            <v>4490</v>
          </cell>
          <cell r="J116">
            <v>11907.293895999999</v>
          </cell>
          <cell r="N116">
            <v>5105.0384340000001</v>
          </cell>
          <cell r="R116">
            <v>3338.2</v>
          </cell>
          <cell r="S116">
            <v>8443.238433999999</v>
          </cell>
        </row>
        <row r="117">
          <cell r="E117">
            <v>127.8684510699988</v>
          </cell>
          <cell r="I117">
            <v>4064.8546125799999</v>
          </cell>
          <cell r="J117">
            <v>4192.7230636499989</v>
          </cell>
          <cell r="N117">
            <v>321.97064449216879</v>
          </cell>
          <cell r="R117">
            <v>788.26882353645192</v>
          </cell>
          <cell r="S117">
            <v>1110.2394680286206</v>
          </cell>
        </row>
        <row r="118">
          <cell r="E118">
            <v>0</v>
          </cell>
          <cell r="I118">
            <v>0</v>
          </cell>
          <cell r="J118">
            <v>0</v>
          </cell>
          <cell r="N118">
            <v>0</v>
          </cell>
          <cell r="R118">
            <v>2929.5</v>
          </cell>
          <cell r="S118">
            <v>2929.5</v>
          </cell>
        </row>
        <row r="119">
          <cell r="E119">
            <v>10900</v>
          </cell>
          <cell r="I119">
            <v>0</v>
          </cell>
          <cell r="J119">
            <v>10900</v>
          </cell>
          <cell r="N119">
            <v>2480</v>
          </cell>
          <cell r="R119">
            <v>13200</v>
          </cell>
          <cell r="S119">
            <v>15680</v>
          </cell>
        </row>
        <row r="120">
          <cell r="E120">
            <v>6.2743557199999991</v>
          </cell>
          <cell r="I120">
            <v>5.2132120200000003</v>
          </cell>
          <cell r="J120">
            <v>11.487567739999999</v>
          </cell>
          <cell r="N120">
            <v>35.631324020000001</v>
          </cell>
          <cell r="R120">
            <v>3253.1949023218094</v>
          </cell>
          <cell r="S120">
            <v>3288.8262263418096</v>
          </cell>
        </row>
        <row r="122">
          <cell r="E122">
            <v>3917.4578211871631</v>
          </cell>
          <cell r="I122">
            <v>5484.9119612227296</v>
          </cell>
          <cell r="J122">
            <v>9402.3697824098927</v>
          </cell>
          <cell r="N122">
            <v>12328.077825923971</v>
          </cell>
          <cell r="R122">
            <v>11435.906871699393</v>
          </cell>
          <cell r="S122">
            <v>23763.984697623364</v>
          </cell>
        </row>
        <row r="124">
          <cell r="E124">
            <v>2130.0173506103406</v>
          </cell>
          <cell r="I124">
            <v>2637.9290612816585</v>
          </cell>
          <cell r="J124">
            <v>4767.9464118919987</v>
          </cell>
          <cell r="N124">
            <v>1976.7054696893852</v>
          </cell>
          <cell r="R124">
            <v>6644.8296118372409</v>
          </cell>
          <cell r="S124">
            <v>8621.5350815266265</v>
          </cell>
        </row>
        <row r="126">
          <cell r="E126">
            <v>449.59075000000001</v>
          </cell>
          <cell r="I126">
            <v>266.83080452000002</v>
          </cell>
          <cell r="J126">
            <v>716.42155451999997</v>
          </cell>
          <cell r="N126">
            <v>472.85</v>
          </cell>
          <cell r="R126">
            <v>291.80082540000001</v>
          </cell>
          <cell r="S126">
            <v>764.65082540000003</v>
          </cell>
        </row>
        <row r="127">
          <cell r="E127">
            <v>194.79075</v>
          </cell>
          <cell r="I127">
            <v>0</v>
          </cell>
          <cell r="J127">
            <v>194.79075</v>
          </cell>
          <cell r="N127">
            <v>202.65</v>
          </cell>
          <cell r="R127">
            <v>0</v>
          </cell>
          <cell r="S127">
            <v>202.65</v>
          </cell>
        </row>
        <row r="128">
          <cell r="E128">
            <v>254.8</v>
          </cell>
          <cell r="I128">
            <v>0</v>
          </cell>
          <cell r="J128">
            <v>254.8</v>
          </cell>
          <cell r="N128">
            <v>270.2</v>
          </cell>
          <cell r="R128">
            <v>0</v>
          </cell>
          <cell r="S128">
            <v>270.2</v>
          </cell>
        </row>
        <row r="129">
          <cell r="E129">
            <v>0</v>
          </cell>
          <cell r="I129">
            <v>266.83080452000002</v>
          </cell>
          <cell r="J129">
            <v>266.83080452000002</v>
          </cell>
          <cell r="N129">
            <v>0</v>
          </cell>
          <cell r="R129">
            <v>291.80082540000001</v>
          </cell>
          <cell r="S129">
            <v>291.80082540000001</v>
          </cell>
        </row>
        <row r="130">
          <cell r="E130">
            <v>473.76244545302404</v>
          </cell>
          <cell r="I130">
            <v>874.72668203163107</v>
          </cell>
          <cell r="J130">
            <v>1348.489127484655</v>
          </cell>
          <cell r="N130">
            <v>278.69200000000001</v>
          </cell>
          <cell r="R130">
            <v>851.56048323959988</v>
          </cell>
          <cell r="S130">
            <v>1130.2524832395998</v>
          </cell>
        </row>
        <row r="131">
          <cell r="E131">
            <v>473.76244545302404</v>
          </cell>
          <cell r="I131">
            <v>50.380141471879007</v>
          </cell>
          <cell r="J131">
            <v>524.14258692490307</v>
          </cell>
          <cell r="N131">
            <v>278.69200000000001</v>
          </cell>
          <cell r="R131">
            <v>0</v>
          </cell>
          <cell r="S131">
            <v>278.69200000000001</v>
          </cell>
        </row>
        <row r="132">
          <cell r="E132">
            <v>0</v>
          </cell>
          <cell r="I132">
            <v>67.192935569592009</v>
          </cell>
          <cell r="J132">
            <v>67.192935569592009</v>
          </cell>
          <cell r="N132">
            <v>0</v>
          </cell>
          <cell r="R132">
            <v>33.016045412399997</v>
          </cell>
          <cell r="S132">
            <v>33.016045412399997</v>
          </cell>
        </row>
        <row r="133">
          <cell r="E133">
            <v>0</v>
          </cell>
          <cell r="I133">
            <v>757.15360499016003</v>
          </cell>
          <cell r="J133">
            <v>757.15360499016003</v>
          </cell>
          <cell r="N133">
            <v>0</v>
          </cell>
          <cell r="R133">
            <v>818.54443782719989</v>
          </cell>
          <cell r="S133">
            <v>818.54443782719989</v>
          </cell>
        </row>
        <row r="134">
          <cell r="E134">
            <v>311.62274944596419</v>
          </cell>
          <cell r="I134">
            <v>972.9175197720142</v>
          </cell>
          <cell r="J134">
            <v>1284.5402692179784</v>
          </cell>
          <cell r="N134">
            <v>612.23192291965643</v>
          </cell>
          <cell r="R134">
            <v>5041.7570765346891</v>
          </cell>
          <cell r="S134">
            <v>5653.9889994543455</v>
          </cell>
        </row>
        <row r="135">
          <cell r="E135">
            <v>419.98249746440104</v>
          </cell>
          <cell r="I135">
            <v>0.32333425320000003</v>
          </cell>
          <cell r="J135">
            <v>420.30583171760105</v>
          </cell>
          <cell r="N135">
            <v>203.39039432000001</v>
          </cell>
          <cell r="R135">
            <v>7.0148999999999999</v>
          </cell>
          <cell r="S135">
            <v>210.40529432000002</v>
          </cell>
        </row>
        <row r="136">
          <cell r="E136">
            <v>265.63411239025498</v>
          </cell>
          <cell r="I136">
            <v>307.55647675197179</v>
          </cell>
          <cell r="J136">
            <v>573.19058914222683</v>
          </cell>
          <cell r="N136">
            <v>234.31190968511305</v>
          </cell>
          <cell r="R136">
            <v>282.16136777877392</v>
          </cell>
          <cell r="S136">
            <v>516.47327746388692</v>
          </cell>
        </row>
        <row r="137">
          <cell r="E137">
            <v>157.99432490165225</v>
          </cell>
          <cell r="I137">
            <v>153.81370127769</v>
          </cell>
          <cell r="J137">
            <v>311.80802617934228</v>
          </cell>
          <cell r="N137">
            <v>115.76454532099999</v>
          </cell>
          <cell r="R137">
            <v>101.45515513559998</v>
          </cell>
          <cell r="S137">
            <v>217.21970045659998</v>
          </cell>
        </row>
        <row r="138">
          <cell r="E138">
            <v>0</v>
          </cell>
          <cell r="I138">
            <v>0</v>
          </cell>
          <cell r="J138">
            <v>0</v>
          </cell>
          <cell r="N138">
            <v>0</v>
          </cell>
          <cell r="R138">
            <v>0</v>
          </cell>
          <cell r="S138">
            <v>0</v>
          </cell>
        </row>
        <row r="139">
          <cell r="E139">
            <v>30.439067994995</v>
          </cell>
          <cell r="I139">
            <v>37.711250626838996</v>
          </cell>
          <cell r="J139">
            <v>68.150318621834003</v>
          </cell>
          <cell r="N139">
            <v>23.0755793296</v>
          </cell>
          <cell r="R139">
            <v>35.642008669219045</v>
          </cell>
          <cell r="S139">
            <v>58.717587998819042</v>
          </cell>
        </row>
        <row r="140">
          <cell r="E140">
            <v>20.991402960049061</v>
          </cell>
          <cell r="I140">
            <v>24.049292048312672</v>
          </cell>
          <cell r="J140">
            <v>45.040695008361737</v>
          </cell>
          <cell r="N140">
            <v>36.389118114015581</v>
          </cell>
          <cell r="R140">
            <v>33.437795079358544</v>
          </cell>
          <cell r="S140">
            <v>69.826913193374125</v>
          </cell>
        </row>
        <row r="142">
          <cell r="E142">
            <v>1787.4404705768225</v>
          </cell>
          <cell r="I142">
            <v>2846.9828999410711</v>
          </cell>
          <cell r="J142">
            <v>4634.423370517894</v>
          </cell>
          <cell r="N142">
            <v>10351.372356234588</v>
          </cell>
          <cell r="R142">
            <v>4791.0772598621515</v>
          </cell>
          <cell r="S142">
            <v>15142.449616096739</v>
          </cell>
        </row>
        <row r="145">
          <cell r="E145">
            <v>0</v>
          </cell>
          <cell r="I145">
            <v>1142.006954655069</v>
          </cell>
          <cell r="J145">
            <v>1142.006954655069</v>
          </cell>
          <cell r="N145">
            <v>8289.735999999999</v>
          </cell>
          <cell r="R145">
            <v>0</v>
          </cell>
          <cell r="S145">
            <v>8289.735999999999</v>
          </cell>
        </row>
        <row r="146">
          <cell r="E146">
            <v>0</v>
          </cell>
          <cell r="I146">
            <v>238.87610022506902</v>
          </cell>
          <cell r="J146">
            <v>238.87610022506902</v>
          </cell>
          <cell r="N146">
            <v>8289.735999999999</v>
          </cell>
          <cell r="R146">
            <v>0</v>
          </cell>
          <cell r="S146">
            <v>8289.735999999999</v>
          </cell>
        </row>
        <row r="147">
          <cell r="E147">
            <v>0</v>
          </cell>
          <cell r="I147">
            <v>903.13085443</v>
          </cell>
          <cell r="J147">
            <v>903.13085443</v>
          </cell>
          <cell r="N147">
            <v>0</v>
          </cell>
          <cell r="R147">
            <v>0</v>
          </cell>
          <cell r="S147">
            <v>0</v>
          </cell>
        </row>
        <row r="148">
          <cell r="E148">
            <v>0</v>
          </cell>
          <cell r="I148">
            <v>0</v>
          </cell>
          <cell r="J148">
            <v>0</v>
          </cell>
          <cell r="N148">
            <v>0</v>
          </cell>
          <cell r="R148">
            <v>2929.5</v>
          </cell>
          <cell r="S148">
            <v>2929.5</v>
          </cell>
        </row>
        <row r="149">
          <cell r="E149">
            <v>343.368694</v>
          </cell>
          <cell r="I149">
            <v>174.84</v>
          </cell>
          <cell r="J149">
            <v>518.20869400000004</v>
          </cell>
          <cell r="N149">
            <v>315.90251966</v>
          </cell>
          <cell r="R149">
            <v>401.99999999999994</v>
          </cell>
          <cell r="S149">
            <v>717.90251965999994</v>
          </cell>
        </row>
        <row r="150">
          <cell r="E150">
            <v>431.44188530900578</v>
          </cell>
          <cell r="I150">
            <v>752.38597541268405</v>
          </cell>
          <cell r="J150">
            <v>1183.8278607216898</v>
          </cell>
          <cell r="N150">
            <v>528.79186560491814</v>
          </cell>
          <cell r="R150">
            <v>789.38341968664224</v>
          </cell>
          <cell r="S150">
            <v>1318.1752852915604</v>
          </cell>
        </row>
        <row r="151">
          <cell r="E151">
            <v>790.12497285030804</v>
          </cell>
          <cell r="I151">
            <v>534.79583377122117</v>
          </cell>
          <cell r="J151">
            <v>1324.9208066215292</v>
          </cell>
          <cell r="N151">
            <v>854.96078439339988</v>
          </cell>
          <cell r="R151">
            <v>597.04374814217999</v>
          </cell>
          <cell r="S151">
            <v>1452.00453253558</v>
          </cell>
        </row>
        <row r="152">
          <cell r="E152">
            <v>147.82693552590376</v>
          </cell>
          <cell r="I152">
            <v>98.040386668393396</v>
          </cell>
          <cell r="J152">
            <v>245.86732219429717</v>
          </cell>
          <cell r="N152">
            <v>348.65630851946958</v>
          </cell>
          <cell r="R152">
            <v>0</v>
          </cell>
          <cell r="S152">
            <v>348.65630851946958</v>
          </cell>
        </row>
        <row r="153">
          <cell r="E153">
            <v>9.9789181882899989</v>
          </cell>
          <cell r="I153">
            <v>49.917640924624003</v>
          </cell>
          <cell r="J153">
            <v>59.896559112914005</v>
          </cell>
          <cell r="N153">
            <v>13.185687509199997</v>
          </cell>
          <cell r="R153">
            <v>50.744867249253822</v>
          </cell>
          <cell r="S153">
            <v>63.930554758453823</v>
          </cell>
        </row>
        <row r="154">
          <cell r="E154">
            <v>64.699064703315116</v>
          </cell>
          <cell r="I154">
            <v>94.996108509079477</v>
          </cell>
          <cell r="J154">
            <v>159.69517321239459</v>
          </cell>
          <cell r="N154">
            <v>0.13919054759997587</v>
          </cell>
          <cell r="R154">
            <v>22.405224784076108</v>
          </cell>
          <cell r="S154">
            <v>22.544415331676085</v>
          </cell>
        </row>
        <row r="156">
          <cell r="E156">
            <v>7759.5347999999994</v>
          </cell>
          <cell r="I156">
            <v>558.57647546948806</v>
          </cell>
          <cell r="J156">
            <v>8318.1112754694877</v>
          </cell>
          <cell r="N156">
            <v>752.62305003999995</v>
          </cell>
          <cell r="R156">
            <v>564</v>
          </cell>
          <cell r="S156">
            <v>1316.62305004</v>
          </cell>
        </row>
        <row r="158">
          <cell r="A158" t="str">
            <v xml:space="preserve"> II .Compra de Act. Financ.</v>
          </cell>
          <cell r="B158">
            <v>3591.7033193199995</v>
          </cell>
          <cell r="C158">
            <v>3038.8773000000001</v>
          </cell>
          <cell r="D158">
            <v>1763.88</v>
          </cell>
          <cell r="E158">
            <v>8394.4606193199998</v>
          </cell>
          <cell r="F158">
            <v>4820.6109999999999</v>
          </cell>
          <cell r="G158">
            <v>3058.9380000000001</v>
          </cell>
          <cell r="H158">
            <v>6520.4467820149994</v>
          </cell>
          <cell r="I158">
            <v>14399.995782014999</v>
          </cell>
          <cell r="J158">
            <v>22794.456401334999</v>
          </cell>
          <cell r="K158">
            <v>0</v>
          </cell>
          <cell r="L158">
            <v>204.07599999999999</v>
          </cell>
          <cell r="M158">
            <v>0</v>
          </cell>
          <cell r="N158">
            <v>204.07599999999999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204.07599999999999</v>
          </cell>
          <cell r="T158">
            <v>22998.532401335</v>
          </cell>
        </row>
        <row r="159">
          <cell r="A159" t="str">
            <v xml:space="preserve">    Títulos y Valores</v>
          </cell>
          <cell r="B159">
            <v>1441.7553193199999</v>
          </cell>
          <cell r="C159">
            <v>450</v>
          </cell>
          <cell r="D159">
            <v>0</v>
          </cell>
          <cell r="E159">
            <v>1891.7553193199999</v>
          </cell>
          <cell r="F159">
            <v>0</v>
          </cell>
          <cell r="G159">
            <v>0</v>
          </cell>
          <cell r="H159">
            <v>1284.074782015</v>
          </cell>
          <cell r="I159">
            <v>1284.074782015</v>
          </cell>
          <cell r="J159">
            <v>3175.8301013350001</v>
          </cell>
          <cell r="K159">
            <v>0</v>
          </cell>
          <cell r="L159">
            <v>204.07599999999999</v>
          </cell>
          <cell r="M159">
            <v>0</v>
          </cell>
          <cell r="N159">
            <v>204.07599999999999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204.07599999999999</v>
          </cell>
          <cell r="T159">
            <v>3379.9061013350001</v>
          </cell>
          <cell r="U159">
            <v>24966.549644995001</v>
          </cell>
        </row>
        <row r="160">
          <cell r="E160">
            <v>6502.7053000000005</v>
          </cell>
          <cell r="I160">
            <v>13115.920999999998</v>
          </cell>
          <cell r="J160">
            <v>19618.6263</v>
          </cell>
          <cell r="N160">
            <v>0</v>
          </cell>
          <cell r="R160">
            <v>0</v>
          </cell>
          <cell r="S160">
            <v>0</v>
          </cell>
        </row>
        <row r="161">
          <cell r="E161">
            <v>0</v>
          </cell>
          <cell r="I161">
            <v>0</v>
          </cell>
          <cell r="J161">
            <v>0</v>
          </cell>
          <cell r="N161">
            <v>0</v>
          </cell>
          <cell r="R161">
            <v>0</v>
          </cell>
          <cell r="S161">
            <v>0</v>
          </cell>
        </row>
        <row r="162">
          <cell r="E162">
            <v>0</v>
          </cell>
          <cell r="I162">
            <v>0</v>
          </cell>
          <cell r="J162">
            <v>0</v>
          </cell>
          <cell r="N162">
            <v>0</v>
          </cell>
          <cell r="R162">
            <v>0</v>
          </cell>
          <cell r="S162">
            <v>0</v>
          </cell>
        </row>
        <row r="164">
          <cell r="E164">
            <v>2563.4811616800766</v>
          </cell>
          <cell r="I164">
            <v>3036.3036231005572</v>
          </cell>
          <cell r="J164">
            <v>5599.7847847806333</v>
          </cell>
          <cell r="N164">
            <v>2922.5067076121863</v>
          </cell>
          <cell r="R164">
            <v>12448.41831233451</v>
          </cell>
          <cell r="S164">
            <v>15370.925019946697</v>
          </cell>
        </row>
        <row r="165">
          <cell r="E165">
            <v>32.59332960389272</v>
          </cell>
          <cell r="I165">
            <v>35.584381651239006</v>
          </cell>
          <cell r="J165">
            <v>68.177711255131726</v>
          </cell>
          <cell r="N165">
            <v>42.073999999999991</v>
          </cell>
          <cell r="R165">
            <v>41.677183471623529</v>
          </cell>
          <cell r="S165">
            <v>83.75118347162352</v>
          </cell>
        </row>
        <row r="166">
          <cell r="E166">
            <v>32.59332960389272</v>
          </cell>
          <cell r="I166">
            <v>35.584381651239006</v>
          </cell>
          <cell r="J166">
            <v>68.177711255131726</v>
          </cell>
          <cell r="N166">
            <v>42.073999999999991</v>
          </cell>
          <cell r="R166">
            <v>41.677183471623529</v>
          </cell>
          <cell r="S166">
            <v>83.75118347162352</v>
          </cell>
        </row>
        <row r="167">
          <cell r="E167">
            <v>0</v>
          </cell>
          <cell r="I167">
            <v>0</v>
          </cell>
          <cell r="J167">
            <v>0</v>
          </cell>
          <cell r="N167">
            <v>0</v>
          </cell>
          <cell r="R167">
            <v>0</v>
          </cell>
          <cell r="S167">
            <v>0</v>
          </cell>
        </row>
        <row r="168">
          <cell r="E168">
            <v>0</v>
          </cell>
          <cell r="I168">
            <v>0</v>
          </cell>
          <cell r="J168">
            <v>0</v>
          </cell>
          <cell r="N168">
            <v>0</v>
          </cell>
          <cell r="R168">
            <v>0</v>
          </cell>
          <cell r="S168">
            <v>0</v>
          </cell>
        </row>
        <row r="169">
          <cell r="E169">
            <v>95.734023066134</v>
          </cell>
          <cell r="I169">
            <v>210.87047210477903</v>
          </cell>
          <cell r="J169">
            <v>306.60449517091303</v>
          </cell>
          <cell r="N169">
            <v>93.219880200727331</v>
          </cell>
          <cell r="R169">
            <v>204.76844916744946</v>
          </cell>
          <cell r="S169">
            <v>297.98832936817678</v>
          </cell>
        </row>
        <row r="170">
          <cell r="E170">
            <v>91.132105973143993</v>
          </cell>
          <cell r="I170">
            <v>90.233490856688007</v>
          </cell>
          <cell r="J170">
            <v>181.36559682983199</v>
          </cell>
          <cell r="N170">
            <v>88.549280200727324</v>
          </cell>
          <cell r="R170">
            <v>89.758534666089474</v>
          </cell>
          <cell r="S170">
            <v>178.30781486681678</v>
          </cell>
        </row>
        <row r="171">
          <cell r="E171">
            <v>4.6019170929900008</v>
          </cell>
          <cell r="I171">
            <v>110.58129285248501</v>
          </cell>
          <cell r="J171">
            <v>115.18320994547501</v>
          </cell>
          <cell r="N171">
            <v>4.6706000000000003</v>
          </cell>
          <cell r="R171">
            <v>104.28441854495999</v>
          </cell>
          <cell r="S171">
            <v>108.95501854495998</v>
          </cell>
        </row>
        <row r="172">
          <cell r="E172">
            <v>0</v>
          </cell>
          <cell r="I172">
            <v>10.055688395605999</v>
          </cell>
          <cell r="J172">
            <v>10.055688395605999</v>
          </cell>
          <cell r="N172">
            <v>0</v>
          </cell>
          <cell r="R172">
            <v>10.725495956399998</v>
          </cell>
          <cell r="S172">
            <v>10.725495956399998</v>
          </cell>
        </row>
        <row r="173">
          <cell r="E173">
            <v>58.563445428620994</v>
          </cell>
          <cell r="I173">
            <v>58.931624269638995</v>
          </cell>
          <cell r="J173">
            <v>117.49506969825998</v>
          </cell>
          <cell r="N173">
            <v>54.422091460458972</v>
          </cell>
          <cell r="R173">
            <v>51.39675401585999</v>
          </cell>
          <cell r="S173">
            <v>105.81884547631896</v>
          </cell>
        </row>
        <row r="174">
          <cell r="E174">
            <v>49.140087589887003</v>
          </cell>
          <cell r="I174">
            <v>56.974977154656997</v>
          </cell>
          <cell r="J174">
            <v>106.115064744544</v>
          </cell>
          <cell r="N174">
            <v>44.790055263599996</v>
          </cell>
          <cell r="R174">
            <v>49.91707390325999</v>
          </cell>
          <cell r="S174">
            <v>94.707129166859986</v>
          </cell>
        </row>
        <row r="175">
          <cell r="E175">
            <v>1.2497724428399999</v>
          </cell>
          <cell r="I175">
            <v>1.9566471149820002</v>
          </cell>
          <cell r="J175">
            <v>3.2064195578220001</v>
          </cell>
          <cell r="N175">
            <v>1.1555840645589797</v>
          </cell>
          <cell r="R175">
            <v>1.4796801125999999</v>
          </cell>
          <cell r="S175">
            <v>2.6352641771589793</v>
          </cell>
        </row>
        <row r="176">
          <cell r="E176">
            <v>8.1735853958939995</v>
          </cell>
          <cell r="I176">
            <v>0</v>
          </cell>
          <cell r="J176">
            <v>8.1735853958939995</v>
          </cell>
          <cell r="N176">
            <v>8.4764521323000004</v>
          </cell>
          <cell r="R176">
            <v>0</v>
          </cell>
          <cell r="S176">
            <v>8.4764521323000004</v>
          </cell>
        </row>
        <row r="177">
          <cell r="E177">
            <v>18.961777992216</v>
          </cell>
          <cell r="I177">
            <v>2.0234450749000001</v>
          </cell>
          <cell r="J177">
            <v>20.985223067115999</v>
          </cell>
          <cell r="N177">
            <v>18.808665425000001</v>
          </cell>
          <cell r="R177">
            <v>0</v>
          </cell>
          <cell r="S177">
            <v>18.808665425000001</v>
          </cell>
        </row>
        <row r="178">
          <cell r="E178">
            <v>447</v>
          </cell>
          <cell r="I178">
            <v>59</v>
          </cell>
          <cell r="J178">
            <v>506</v>
          </cell>
          <cell r="N178">
            <v>64</v>
          </cell>
          <cell r="R178">
            <v>252</v>
          </cell>
          <cell r="S178">
            <v>316</v>
          </cell>
        </row>
        <row r="179">
          <cell r="E179">
            <v>138.41400000000002</v>
          </cell>
          <cell r="I179">
            <v>198.25150000000002</v>
          </cell>
          <cell r="J179">
            <v>336.66550000000007</v>
          </cell>
          <cell r="N179">
            <v>95.182070526000004</v>
          </cell>
          <cell r="R179">
            <v>181.31592567957478</v>
          </cell>
          <cell r="S179">
            <v>276.49799620557479</v>
          </cell>
        </row>
        <row r="180">
          <cell r="E180">
            <v>1301.6399999999999</v>
          </cell>
          <cell r="I180">
            <v>2318.65</v>
          </cell>
          <cell r="J180">
            <v>3620.29</v>
          </cell>
          <cell r="N180">
            <v>2253</v>
          </cell>
          <cell r="R180">
            <v>2018.52</v>
          </cell>
          <cell r="S180">
            <v>4271.5200000000004</v>
          </cell>
        </row>
        <row r="181">
          <cell r="E181">
            <v>0</v>
          </cell>
          <cell r="I181">
            <v>0</v>
          </cell>
          <cell r="J181">
            <v>0</v>
          </cell>
          <cell r="N181">
            <v>0</v>
          </cell>
          <cell r="R181">
            <v>0</v>
          </cell>
          <cell r="S181">
            <v>0</v>
          </cell>
        </row>
        <row r="182">
          <cell r="E182">
            <v>470.5745855892128</v>
          </cell>
          <cell r="I182">
            <v>152.9922</v>
          </cell>
          <cell r="J182">
            <v>623.56678558921283</v>
          </cell>
          <cell r="N182">
            <v>301.79999999999995</v>
          </cell>
          <cell r="R182">
            <v>9698.7400000000016</v>
          </cell>
          <cell r="S182">
            <v>10000.540000000001</v>
          </cell>
        </row>
        <row r="184">
          <cell r="E184">
            <v>-17151.90214099277</v>
          </cell>
          <cell r="I184">
            <v>8625.0108517090994</v>
          </cell>
          <cell r="J184">
            <v>-8526.891289283667</v>
          </cell>
          <cell r="N184">
            <v>-13297.431597237413</v>
          </cell>
          <cell r="R184">
            <v>-25435.381917300314</v>
          </cell>
          <cell r="S184">
            <v>-38732.813514537724</v>
          </cell>
        </row>
        <row r="186">
          <cell r="E186">
            <v>-6015.7447552821832</v>
          </cell>
          <cell r="I186">
            <v>2609.2660964269162</v>
          </cell>
          <cell r="J186">
            <v>2609.2660964269162</v>
          </cell>
          <cell r="N186">
            <v>-10688.165500810494</v>
          </cell>
          <cell r="R186">
            <v>-36123.547418110807</v>
          </cell>
          <cell r="S186">
            <v>-36123.5474181108</v>
          </cell>
        </row>
        <row r="194">
          <cell r="E194">
            <v>6015.7447552821832</v>
          </cell>
          <cell r="I194">
            <v>-2609.2660964269162</v>
          </cell>
          <cell r="J194">
            <v>-2609.2660964269162</v>
          </cell>
          <cell r="N194">
            <v>10688.165500810494</v>
          </cell>
          <cell r="R194">
            <v>36123.547418110807</v>
          </cell>
          <cell r="S194">
            <v>36123.5474181108</v>
          </cell>
        </row>
        <row r="197">
          <cell r="E197">
            <v>8420.7014238708471</v>
          </cell>
          <cell r="I197">
            <v>6063.9863512436477</v>
          </cell>
          <cell r="J197">
            <v>6063.9869077537151</v>
          </cell>
          <cell r="N197">
            <v>7949.444036734285</v>
          </cell>
          <cell r="R197">
            <v>22562.674562454318</v>
          </cell>
          <cell r="S197">
            <v>22562.674562454311</v>
          </cell>
        </row>
        <row r="198">
          <cell r="E198">
            <v>-2.4730001314310357E-5</v>
          </cell>
          <cell r="I198">
            <v>-2075.5352732679985</v>
          </cell>
          <cell r="J198">
            <v>-2075.5352732679985</v>
          </cell>
        </row>
        <row r="199">
          <cell r="E199">
            <v>8420.7019293899993</v>
          </cell>
          <cell r="I199">
            <v>8252.2635178700002</v>
          </cell>
          <cell r="J199">
            <v>8252.2635178700002</v>
          </cell>
        </row>
        <row r="202">
          <cell r="E202">
            <v>-2404.956668588663</v>
          </cell>
          <cell r="I202">
            <v>-8673.2524476705639</v>
          </cell>
          <cell r="J202">
            <v>-8673.2530041806313</v>
          </cell>
          <cell r="N202">
            <v>2738.721464076209</v>
          </cell>
          <cell r="R202">
            <v>13560.872855656491</v>
          </cell>
          <cell r="S202">
            <v>13560.872855656491</v>
          </cell>
        </row>
        <row r="206">
          <cell r="E206">
            <v>3100.7151836100011</v>
          </cell>
          <cell r="I206">
            <v>3753.0839271300001</v>
          </cell>
          <cell r="J206">
            <v>3753.0839271300001</v>
          </cell>
        </row>
        <row r="209">
          <cell r="I209">
            <v>-2609.2660964269162</v>
          </cell>
          <cell r="J209">
            <v>-2609.2660964269162</v>
          </cell>
        </row>
        <row r="210">
          <cell r="I210">
            <v>0</v>
          </cell>
          <cell r="J210">
            <v>0</v>
          </cell>
        </row>
        <row r="214">
          <cell r="R214">
            <v>-4.0199999999999996</v>
          </cell>
          <cell r="S214">
            <v>-4.0200000000000005</v>
          </cell>
        </row>
        <row r="226">
          <cell r="R226">
            <v>36123.547418110807</v>
          </cell>
        </row>
        <row r="248">
          <cell r="N248" t="e">
            <v>#DIV/0!</v>
          </cell>
          <cell r="R248">
            <v>2918.8430990931165</v>
          </cell>
          <cell r="S248">
            <v>6037.4009257125581</v>
          </cell>
        </row>
        <row r="250">
          <cell r="N250" t="e">
            <v>#DIV/0!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"/>
  <sheetViews>
    <sheetView tabSelected="1" workbookViewId="0">
      <selection activeCell="J2" sqref="B2:J8"/>
    </sheetView>
  </sheetViews>
  <sheetFormatPr baseColWidth="10" defaultRowHeight="15" x14ac:dyDescent="0.25"/>
  <cols>
    <col min="1" max="1" width="7.7109375" style="2" customWidth="1"/>
    <col min="2" max="2" width="12.85546875" style="2" customWidth="1"/>
    <col min="3" max="3" width="23.28515625" style="2" customWidth="1"/>
    <col min="4" max="4" width="16" style="2" customWidth="1"/>
    <col min="5" max="5" width="15.28515625" style="2" customWidth="1"/>
    <col min="6" max="6" width="13.7109375" style="2" customWidth="1"/>
    <col min="7" max="8" width="14.85546875" style="2" customWidth="1"/>
    <col min="9" max="9" width="15.28515625" style="2" customWidth="1"/>
    <col min="10" max="10" width="15" style="2" customWidth="1"/>
    <col min="11" max="11" width="16.28515625" style="2" customWidth="1"/>
    <col min="12" max="16384" width="11.42578125" style="2"/>
  </cols>
  <sheetData>
    <row r="1" spans="1:21" ht="24" customHeight="1" thickBot="1" x14ac:dyDescent="0.3">
      <c r="A1" s="1"/>
      <c r="B1" s="45" t="s">
        <v>13</v>
      </c>
      <c r="C1" s="46" t="s">
        <v>23</v>
      </c>
      <c r="D1" s="46" t="s">
        <v>17</v>
      </c>
      <c r="E1" s="46" t="s">
        <v>16</v>
      </c>
      <c r="F1" s="46" t="s">
        <v>36</v>
      </c>
      <c r="G1" s="46" t="s">
        <v>7</v>
      </c>
      <c r="H1" s="46" t="s">
        <v>6</v>
      </c>
      <c r="I1" s="46" t="s">
        <v>37</v>
      </c>
      <c r="J1" s="60" t="s">
        <v>8</v>
      </c>
      <c r="K1" s="20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26.25" customHeight="1" x14ac:dyDescent="0.25">
      <c r="A2" s="1"/>
      <c r="B2" s="92" t="s">
        <v>29</v>
      </c>
      <c r="C2" s="93">
        <v>596.9</v>
      </c>
      <c r="D2" s="94">
        <f ca="1">+C2/(E2*100)*100</f>
        <v>599.36208480730545</v>
      </c>
      <c r="E2" s="95">
        <f ca="1">'TX24'!Q6</f>
        <v>0.99589215789634566</v>
      </c>
      <c r="F2" s="96">
        <f ca="1">'TX24'!N8</f>
        <v>0.57963875205254523</v>
      </c>
      <c r="G2" s="94">
        <f ca="1">'TX24'!N6</f>
        <v>0.57324883973730012</v>
      </c>
      <c r="H2" s="94">
        <f ca="1">'TX24'!N5</f>
        <v>0.57959813661412918</v>
      </c>
      <c r="I2" s="96">
        <f ca="1">'TX24'!N7</f>
        <v>0.8778475549544339</v>
      </c>
      <c r="J2" s="97">
        <f ca="1">'TX24'!N4</f>
        <v>2.2151974628465965E-2</v>
      </c>
      <c r="K2" s="19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6.25" customHeight="1" x14ac:dyDescent="0.25">
      <c r="A3" s="1"/>
      <c r="B3" s="66" t="s">
        <v>32</v>
      </c>
      <c r="C3" s="67">
        <v>438.75</v>
      </c>
      <c r="D3" s="68">
        <f ca="1">+C3/(E3*100)*100</f>
        <v>447.11185972890792</v>
      </c>
      <c r="E3" s="69">
        <f ca="1">T2X4!Q6</f>
        <v>0.98129805875876819</v>
      </c>
      <c r="F3" s="70">
        <f ca="1">T2X4!N8</f>
        <v>0.91562859018545861</v>
      </c>
      <c r="G3" s="68">
        <f ca="1">T2X4!N6</f>
        <v>0.89922186024710959</v>
      </c>
      <c r="H3" s="68">
        <f ca="1">T2X4!N5</f>
        <v>0.91555979867555837</v>
      </c>
      <c r="I3" s="70">
        <f ca="1">T2X4!N7</f>
        <v>1.6337943720905388</v>
      </c>
      <c r="J3" s="78">
        <f ca="1">T2X4!N4</f>
        <v>3.6337947620532773E-2</v>
      </c>
      <c r="K3" s="19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6.25" customHeight="1" x14ac:dyDescent="0.25">
      <c r="A4" s="1"/>
      <c r="B4" s="66" t="s">
        <v>41</v>
      </c>
      <c r="C4" s="67">
        <v>146.9</v>
      </c>
      <c r="D4" s="68">
        <f ca="1">+C4/(E4*100)*100</f>
        <v>152.90497657975425</v>
      </c>
      <c r="E4" s="69">
        <f ca="1">T3X4!Q6</f>
        <v>0.96072739609869995</v>
      </c>
      <c r="F4" s="70">
        <f ca="1">T3X4!N8</f>
        <v>0.62707496653279782</v>
      </c>
      <c r="G4" s="68">
        <f ca="1">T3X4!N6</f>
        <v>0.60164825242077191</v>
      </c>
      <c r="H4" s="68">
        <f ca="1">T3X4!N5</f>
        <v>0.62670570825340743</v>
      </c>
      <c r="I4" s="70">
        <f ca="1">T3X4!N7</f>
        <v>0.88050804832910867</v>
      </c>
      <c r="J4" s="78">
        <f ca="1">T3X4!N4</f>
        <v>8.3296031300066797E-2</v>
      </c>
      <c r="K4" s="19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26.25" customHeight="1" x14ac:dyDescent="0.25">
      <c r="A5" s="1"/>
      <c r="B5" s="66" t="s">
        <v>39</v>
      </c>
      <c r="C5" s="67">
        <v>145.15</v>
      </c>
      <c r="D5" s="68">
        <f ca="1">T4X4!Q5</f>
        <v>151.71586555653229</v>
      </c>
      <c r="E5" s="69">
        <f ca="1">T4X4!Q6</f>
        <v>0.95672261742404441</v>
      </c>
      <c r="F5" s="70">
        <f ca="1">T4X4!N8</f>
        <v>1.1047631487286658</v>
      </c>
      <c r="G5" s="68">
        <f ca="1">T4X4!N6</f>
        <v>1.0597349935000879</v>
      </c>
      <c r="H5" s="68">
        <f ca="1">T4X4!N5</f>
        <v>1.102654968740175</v>
      </c>
      <c r="I5" s="70">
        <f ca="1">T4X4!N7</f>
        <v>2.002039280910366</v>
      </c>
      <c r="J5" s="78">
        <f ca="1">T4X4!N4</f>
        <v>8.1001336189401751E-2</v>
      </c>
      <c r="K5" s="19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26.25" customHeight="1" x14ac:dyDescent="0.25">
      <c r="A6" s="1"/>
      <c r="B6" s="66" t="s">
        <v>38</v>
      </c>
      <c r="C6" s="67">
        <v>141.5</v>
      </c>
      <c r="D6" s="68">
        <f ca="1">T2X5!Q5</f>
        <v>149.24309236846224</v>
      </c>
      <c r="E6" s="69">
        <f ca="1">T2X5!Q6</f>
        <v>0.97257432619824769</v>
      </c>
      <c r="F6" s="70">
        <f ca="1">T2X5!N8</f>
        <v>1.4394796970883927</v>
      </c>
      <c r="G6" s="68">
        <f ca="1">T2X5!N6</f>
        <v>1.3947198044393074</v>
      </c>
      <c r="H6" s="68">
        <f ca="1">T2X5!N5</f>
        <v>1.4379708761441474</v>
      </c>
      <c r="I6" s="70">
        <f ca="1">T2X5!N7</f>
        <v>3.1263919921150478</v>
      </c>
      <c r="J6" s="78">
        <f ca="1">T2X5!N4</f>
        <v>6.2021162339811031E-2</v>
      </c>
      <c r="K6" s="19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26.25" customHeight="1" x14ac:dyDescent="0.25">
      <c r="A7" s="1"/>
      <c r="B7" s="66" t="s">
        <v>28</v>
      </c>
      <c r="C7" s="67">
        <v>487.5</v>
      </c>
      <c r="D7" s="68">
        <f ca="1">+C7/(E7*100)*100</f>
        <v>536.576458005924</v>
      </c>
      <c r="E7" s="69">
        <f ca="1">'TX26'!Q6</f>
        <v>0.908537809898879</v>
      </c>
      <c r="F7" s="70">
        <f ca="1">'TX26'!N8</f>
        <v>2.162698412698413</v>
      </c>
      <c r="G7" s="68">
        <f ca="1">'TX26'!N6</f>
        <v>2.0595702498302968</v>
      </c>
      <c r="H7" s="68">
        <f ca="1">'TX26'!N5</f>
        <v>2.1271964252434259</v>
      </c>
      <c r="I7" s="70">
        <f ca="1">+'TX26'!N7</f>
        <v>6.3310231405518405</v>
      </c>
      <c r="J7" s="78">
        <f ca="1">'TX26'!N4</f>
        <v>6.5670180872637207E-2</v>
      </c>
      <c r="K7" s="19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26.25" customHeight="1" thickBot="1" x14ac:dyDescent="0.3">
      <c r="A8" s="1"/>
      <c r="B8" s="98" t="s">
        <v>31</v>
      </c>
      <c r="C8" s="99">
        <v>471.1</v>
      </c>
      <c r="D8" s="100">
        <f ca="1">+C8/(E8*100)*100</f>
        <v>536.96912552324306</v>
      </c>
      <c r="E8" s="101">
        <f ca="1">'TX28'!Q6</f>
        <v>0.8773316334359863</v>
      </c>
      <c r="F8" s="102">
        <f ca="1">'TX28'!N8</f>
        <v>2.8834821717465866</v>
      </c>
      <c r="G8" s="100">
        <f ca="1">'TX28'!N6</f>
        <v>2.6443926044468546</v>
      </c>
      <c r="H8" s="100">
        <f ca="1">'TX28'!N5</f>
        <v>2.7375400247516715</v>
      </c>
      <c r="I8" s="102">
        <f ca="1">+'TX28'!N7</f>
        <v>10.736791996450879</v>
      </c>
      <c r="J8" s="103">
        <f ca="1">'TX28'!N4</f>
        <v>7.0449009839294252E-2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21" customHeight="1" thickBot="1" x14ac:dyDescent="0.3">
      <c r="A9" s="1"/>
      <c r="B9" s="18"/>
      <c r="C9" s="91" t="s">
        <v>35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9.5" customHeight="1" thickBot="1" x14ac:dyDescent="0.3">
      <c r="A10" s="1"/>
      <c r="B10" s="104" t="s">
        <v>25</v>
      </c>
      <c r="C10" s="105"/>
      <c r="D10" s="71">
        <v>121.06310000000001</v>
      </c>
      <c r="E10" s="76" t="s">
        <v>34</v>
      </c>
      <c r="F10" s="1"/>
      <c r="G10" s="18"/>
      <c r="H10" s="3"/>
      <c r="I10" s="106" t="s">
        <v>22</v>
      </c>
      <c r="J10" s="107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9.5" customHeight="1" x14ac:dyDescent="0.25">
      <c r="A11" s="1"/>
      <c r="B11" s="55" t="s">
        <v>30</v>
      </c>
      <c r="C11" s="54"/>
      <c r="D11" s="54"/>
      <c r="E11" s="1"/>
      <c r="F11" s="1"/>
      <c r="G11" s="1"/>
      <c r="H11" s="1"/>
      <c r="I11" s="1"/>
      <c r="J11" s="56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21.75" customHeight="1" x14ac:dyDescent="0.25">
      <c r="A12" s="1"/>
      <c r="B12" s="1"/>
      <c r="C12" s="1"/>
      <c r="D12" s="1"/>
      <c r="E12" s="56"/>
      <c r="F12" s="1"/>
      <c r="G12" s="1"/>
      <c r="H12" s="1"/>
      <c r="I12" s="64"/>
      <c r="J12" s="64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9.5" customHeight="1" x14ac:dyDescent="0.25">
      <c r="A13" s="1"/>
      <c r="B13" s="1"/>
      <c r="C13" s="1"/>
      <c r="D13" s="1"/>
      <c r="E13" s="64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9.5" customHeight="1" x14ac:dyDescent="0.25">
      <c r="A14" s="1"/>
      <c r="B14" s="1"/>
      <c r="C14" s="1"/>
      <c r="D14" s="1"/>
      <c r="E14" s="65"/>
      <c r="F14" s="1"/>
      <c r="G14" s="1"/>
      <c r="H14" s="58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9.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5">
      <c r="A18" s="1"/>
    </row>
  </sheetData>
  <mergeCells count="2">
    <mergeCell ref="B10:C10"/>
    <mergeCell ref="I10:J10"/>
  </mergeCells>
  <dataValidations count="1">
    <dataValidation type="decimal" showInputMessage="1" showErrorMessage="1" sqref="C2:C3 C5:C8" xr:uid="{00000000-0002-0000-0000-000000000000}">
      <formula1>0</formula1>
      <formula2>600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2"/>
  <sheetViews>
    <sheetView workbookViewId="0">
      <selection activeCell="C4" sqref="C4:D4"/>
    </sheetView>
  </sheetViews>
  <sheetFormatPr baseColWidth="10" defaultRowHeight="15" x14ac:dyDescent="0.25"/>
  <cols>
    <col min="1" max="1" width="15.5703125" style="2" customWidth="1"/>
    <col min="2" max="2" width="16.5703125" style="2" customWidth="1"/>
    <col min="3" max="5" width="18.7109375" style="2" customWidth="1"/>
    <col min="6" max="8" width="20" style="2" customWidth="1"/>
    <col min="9" max="9" width="19.85546875" style="2" customWidth="1"/>
    <col min="10" max="10" width="25.85546875" style="2" customWidth="1"/>
    <col min="11" max="11" width="16" style="2" customWidth="1"/>
    <col min="12" max="12" width="4.7109375" style="2" customWidth="1"/>
    <col min="13" max="13" width="15.28515625" style="2" customWidth="1"/>
    <col min="14" max="14" width="16.28515625" style="2" customWidth="1"/>
    <col min="15" max="15" width="8.140625" style="2" customWidth="1"/>
    <col min="16" max="16" width="18" style="2" customWidth="1"/>
    <col min="17" max="17" width="13.85546875" style="2" customWidth="1"/>
    <col min="18" max="16384" width="11.42578125" style="2"/>
  </cols>
  <sheetData>
    <row r="1" spans="1:17" ht="27.75" customHeight="1" thickBot="1" x14ac:dyDescent="0.3">
      <c r="A1" s="4" t="s">
        <v>29</v>
      </c>
      <c r="B1" s="5" t="s">
        <v>10</v>
      </c>
      <c r="C1" s="5" t="s">
        <v>0</v>
      </c>
      <c r="D1" s="6" t="s">
        <v>1</v>
      </c>
      <c r="E1" s="6" t="s">
        <v>2</v>
      </c>
      <c r="F1" s="6" t="s">
        <v>3</v>
      </c>
      <c r="G1" s="6" t="s">
        <v>5</v>
      </c>
      <c r="H1" s="7" t="s">
        <v>11</v>
      </c>
      <c r="I1" s="7" t="s">
        <v>9</v>
      </c>
      <c r="J1" s="7" t="s">
        <v>18</v>
      </c>
      <c r="K1" s="7" t="s">
        <v>20</v>
      </c>
      <c r="L1" s="8"/>
      <c r="M1" s="1"/>
      <c r="N1" s="1"/>
      <c r="O1" s="1"/>
      <c r="P1" s="1"/>
      <c r="Q1" s="1"/>
    </row>
    <row r="2" spans="1:17" ht="18" customHeight="1" thickBot="1" x14ac:dyDescent="0.3">
      <c r="A2" s="9" t="s">
        <v>4</v>
      </c>
      <c r="B2" s="10"/>
      <c r="C2" s="11">
        <f ca="1">WORKDAY(TODAY(),2)</f>
        <v>45163</v>
      </c>
      <c r="D2" s="12"/>
      <c r="E2" s="12"/>
      <c r="F2" s="63">
        <f>-'Curva de rendimientos'!C2</f>
        <v>-596.9</v>
      </c>
      <c r="G2" s="13"/>
      <c r="H2" s="13"/>
      <c r="I2" s="1"/>
      <c r="J2" s="1"/>
      <c r="K2" s="1"/>
      <c r="L2" s="1"/>
      <c r="M2" s="14"/>
      <c r="N2" s="15"/>
      <c r="O2" s="1"/>
      <c r="P2" s="1"/>
      <c r="Q2" s="1"/>
    </row>
    <row r="3" spans="1:17" ht="18" customHeight="1" thickTop="1" thickBot="1" x14ac:dyDescent="0.35">
      <c r="A3" s="40">
        <v>1.4999999999999999E-2</v>
      </c>
      <c r="B3" s="22">
        <f ca="1">DAYS360($C$2,C3)/360</f>
        <v>8.3333333333333329E-2</v>
      </c>
      <c r="C3" s="23">
        <v>45194</v>
      </c>
      <c r="D3" s="24">
        <f>$A$3/360*DAYS360(Q3,C3)*($C$8-SUM($E$2:E2))</f>
        <v>4.4672950420420277</v>
      </c>
      <c r="E3" s="13"/>
      <c r="F3" s="57">
        <f t="shared" ref="F3:F4" si="0">+D3+E3</f>
        <v>4.4672950420420277</v>
      </c>
      <c r="G3" s="57">
        <f ca="1">F3/((1+$O$4)^(B3))</f>
        <v>4.4591012836607522</v>
      </c>
      <c r="H3" s="25">
        <f ca="1">+G3/$G$5</f>
        <v>7.4703934384084498E-3</v>
      </c>
      <c r="I3" s="24">
        <f ca="1">+H3*B3</f>
        <v>6.2253278653403741E-4</v>
      </c>
      <c r="J3" s="24">
        <f ca="1">G3*B3*(1+B3)</f>
        <v>0.402557754774929</v>
      </c>
      <c r="K3" s="24">
        <f ca="1">(B3*F3)/$F$5</f>
        <v>6.1576354679802956E-4</v>
      </c>
      <c r="L3" s="24"/>
      <c r="M3" s="26" t="s">
        <v>14</v>
      </c>
      <c r="N3" s="27">
        <f>'Curva de rendimientos'!C2</f>
        <v>596.9</v>
      </c>
      <c r="O3" s="28"/>
      <c r="P3" s="26" t="s">
        <v>27</v>
      </c>
      <c r="Q3" s="29">
        <v>45010</v>
      </c>
    </row>
    <row r="4" spans="1:17" ht="18" customHeight="1" thickBot="1" x14ac:dyDescent="0.3">
      <c r="A4" s="21"/>
      <c r="B4" s="22">
        <f ca="1">DAYS360($C$2,C4)/360</f>
        <v>0.58333333333333337</v>
      </c>
      <c r="C4" s="23">
        <f t="shared" ref="C4" si="1">EDATE(C3,6)</f>
        <v>45376</v>
      </c>
      <c r="D4" s="24">
        <f>$A$3/360*DAYS360(C3,C4)*($C$8-SUM($E$2:E3))</f>
        <v>4.4672950420420277</v>
      </c>
      <c r="E4" s="24">
        <f>C8</f>
        <v>595.63933893893704</v>
      </c>
      <c r="F4" s="57">
        <f t="shared" si="0"/>
        <v>600.10663398097904</v>
      </c>
      <c r="G4" s="57">
        <f ca="1">F4/((1+$O$4)^(B4))</f>
        <v>592.44403647272941</v>
      </c>
      <c r="H4" s="25">
        <f ca="1">+G4/$G$5</f>
        <v>0.99252960656159162</v>
      </c>
      <c r="I4" s="24">
        <f ca="1">+H4*B4</f>
        <v>0.57897560382759516</v>
      </c>
      <c r="J4" s="24">
        <f ca="1">G4*B4*(1+B4)</f>
        <v>547.18789479772931</v>
      </c>
      <c r="K4" s="24">
        <f ca="1">(B4*F4)/$F$5</f>
        <v>0.57902298850574718</v>
      </c>
      <c r="L4" s="24"/>
      <c r="M4" s="26" t="s">
        <v>12</v>
      </c>
      <c r="N4" s="30">
        <f ca="1">((1+O4)^(1/2)-1)*2</f>
        <v>2.2151974628465965E-2</v>
      </c>
      <c r="O4" s="31">
        <f ca="1">XIRR(F2:F4,C2:C4)</f>
        <v>2.2274652123451234E-2</v>
      </c>
      <c r="P4" s="26" t="s">
        <v>15</v>
      </c>
      <c r="Q4" s="61">
        <f ca="1">(D3/DAYS360(Q3,C3))*DAYS360(Q3,C2)</f>
        <v>3.7227458683683565</v>
      </c>
    </row>
    <row r="5" spans="1:17" ht="18" customHeight="1" thickBot="1" x14ac:dyDescent="0.35">
      <c r="A5" s="47"/>
      <c r="B5" s="28"/>
      <c r="C5" s="28"/>
      <c r="D5" s="28"/>
      <c r="E5" s="28"/>
      <c r="F5" s="53">
        <f>SUM(F3:F4)</f>
        <v>604.57392902302104</v>
      </c>
      <c r="G5" s="62">
        <f ca="1">SUM(G3:G4)</f>
        <v>596.90313775639015</v>
      </c>
      <c r="H5" s="52">
        <f ca="1">SUM(H3:H4)</f>
        <v>1</v>
      </c>
      <c r="I5" s="41">
        <f ca="1">SUM(I3:I4)</f>
        <v>0.57959813661412918</v>
      </c>
      <c r="J5" s="42">
        <f ca="1">SUM(J3:J4)/((1+O4)^2)</f>
        <v>523.98720555230159</v>
      </c>
      <c r="K5" s="43">
        <f ca="1">SUM(K3:K4)</f>
        <v>0.57963875205254523</v>
      </c>
      <c r="L5" s="24"/>
      <c r="M5" s="26" t="s">
        <v>6</v>
      </c>
      <c r="N5" s="33">
        <f ca="1">I5</f>
        <v>0.57959813661412918</v>
      </c>
      <c r="O5" s="28"/>
      <c r="P5" s="26" t="s">
        <v>17</v>
      </c>
      <c r="Q5" s="27">
        <f ca="1">(C8-SUM(E2:E2))+Q4</f>
        <v>599.36208480730545</v>
      </c>
    </row>
    <row r="6" spans="1:17" ht="18.75" customHeight="1" thickBot="1" x14ac:dyDescent="0.35">
      <c r="A6" s="108" t="s">
        <v>24</v>
      </c>
      <c r="B6" s="109"/>
      <c r="C6" s="79">
        <v>20.3249</v>
      </c>
      <c r="L6" s="24"/>
      <c r="M6" s="26" t="s">
        <v>7</v>
      </c>
      <c r="N6" s="34">
        <f ca="1">N5/(1+N4/2)</f>
        <v>0.57324883973730012</v>
      </c>
      <c r="O6" s="28"/>
      <c r="P6" s="26" t="s">
        <v>16</v>
      </c>
      <c r="Q6" s="35">
        <f ca="1">N3/Q5</f>
        <v>0.99589215789634566</v>
      </c>
    </row>
    <row r="7" spans="1:17" ht="18.75" customHeight="1" thickBot="1" x14ac:dyDescent="0.35">
      <c r="A7" s="110" t="s">
        <v>25</v>
      </c>
      <c r="B7" s="111"/>
      <c r="C7" s="79">
        <f>'Curva de rendimientos'!D10</f>
        <v>121.06310000000001</v>
      </c>
      <c r="L7" s="24"/>
      <c r="M7" s="26" t="s">
        <v>19</v>
      </c>
      <c r="N7" s="34">
        <f ca="1">J5/N3</f>
        <v>0.8778475549544339</v>
      </c>
      <c r="O7" s="28"/>
      <c r="P7" s="28"/>
      <c r="Q7" s="28"/>
    </row>
    <row r="8" spans="1:17" ht="18.75" customHeight="1" thickBot="1" x14ac:dyDescent="0.35">
      <c r="A8" s="112" t="s">
        <v>26</v>
      </c>
      <c r="B8" s="113"/>
      <c r="C8" s="79">
        <f>100*(1+(C7/C6-1))</f>
        <v>595.63933893893704</v>
      </c>
      <c r="L8" s="24"/>
      <c r="M8" s="26" t="s">
        <v>21</v>
      </c>
      <c r="N8" s="34">
        <f ca="1">K5</f>
        <v>0.57963875205254523</v>
      </c>
      <c r="O8" s="28"/>
      <c r="P8" s="28"/>
      <c r="Q8" s="28"/>
    </row>
    <row r="9" spans="1:17" ht="18" customHeight="1" x14ac:dyDescent="0.3">
      <c r="A9" s="47"/>
      <c r="E9" s="59"/>
      <c r="L9" s="24"/>
      <c r="M9" s="36"/>
      <c r="N9" s="37"/>
      <c r="O9" s="28"/>
      <c r="P9" s="28"/>
      <c r="Q9" s="28"/>
    </row>
    <row r="10" spans="1:17" ht="18" customHeight="1" x14ac:dyDescent="0.25">
      <c r="A10" s="47"/>
      <c r="L10" s="24"/>
      <c r="M10" s="38"/>
      <c r="N10" s="39"/>
      <c r="O10" s="28"/>
      <c r="P10" s="28"/>
      <c r="Q10" s="28"/>
    </row>
    <row r="11" spans="1:17" ht="18" customHeight="1" x14ac:dyDescent="0.25">
      <c r="L11" s="24"/>
      <c r="M11" s="38"/>
      <c r="N11" s="39"/>
      <c r="O11" s="28"/>
      <c r="P11" s="28"/>
      <c r="Q11" s="28"/>
    </row>
    <row r="12" spans="1:17" ht="18" customHeight="1" x14ac:dyDescent="0.25">
      <c r="A12" s="47"/>
      <c r="L12" s="24"/>
      <c r="M12" s="38"/>
      <c r="N12" s="39"/>
      <c r="O12" s="28"/>
      <c r="P12" s="28"/>
      <c r="Q12" s="28"/>
    </row>
    <row r="13" spans="1:17" ht="18" customHeight="1" x14ac:dyDescent="0.25">
      <c r="A13" s="47"/>
      <c r="D13" s="49"/>
      <c r="L13" s="24"/>
      <c r="M13" s="38"/>
      <c r="N13" s="39"/>
      <c r="O13" s="28"/>
      <c r="P13" s="28"/>
      <c r="Q13" s="28"/>
    </row>
    <row r="14" spans="1:17" ht="18" customHeight="1" x14ac:dyDescent="0.25">
      <c r="A14" s="47"/>
      <c r="B14" s="51"/>
      <c r="L14" s="24"/>
      <c r="M14" s="38"/>
      <c r="N14" s="39"/>
      <c r="O14" s="28"/>
      <c r="P14" s="28"/>
      <c r="Q14" s="28"/>
    </row>
    <row r="15" spans="1:17" ht="18" customHeight="1" x14ac:dyDescent="0.25">
      <c r="A15" s="47"/>
      <c r="D15" s="50"/>
      <c r="L15" s="24"/>
      <c r="M15" s="38"/>
      <c r="N15" s="39"/>
      <c r="O15" s="28"/>
      <c r="P15" s="28"/>
      <c r="Q15" s="28"/>
    </row>
    <row r="16" spans="1:17" ht="18" customHeight="1" x14ac:dyDescent="0.25">
      <c r="A16" s="47"/>
      <c r="L16" s="24"/>
      <c r="M16" s="38"/>
      <c r="N16" s="39"/>
      <c r="O16" s="28"/>
      <c r="P16" s="28"/>
      <c r="Q16" s="28"/>
    </row>
    <row r="17" spans="1:17" ht="18" customHeight="1" x14ac:dyDescent="0.25">
      <c r="A17" s="47"/>
      <c r="L17" s="24"/>
      <c r="M17" s="38"/>
      <c r="N17" s="39"/>
      <c r="O17" s="28"/>
      <c r="P17" s="28"/>
      <c r="Q17" s="28"/>
    </row>
    <row r="18" spans="1:17" ht="18" customHeight="1" x14ac:dyDescent="0.25">
      <c r="A18" s="47"/>
      <c r="L18" s="24"/>
      <c r="M18" s="38"/>
      <c r="N18" s="39"/>
      <c r="O18" s="28"/>
      <c r="P18" s="28"/>
      <c r="Q18" s="28"/>
    </row>
    <row r="19" spans="1:17" ht="18" customHeight="1" x14ac:dyDescent="0.25">
      <c r="A19" s="47"/>
      <c r="L19" s="24"/>
      <c r="M19" s="38"/>
      <c r="N19" s="39"/>
      <c r="O19" s="28"/>
      <c r="P19" s="28"/>
      <c r="Q19" s="28"/>
    </row>
    <row r="20" spans="1:17" ht="18" customHeight="1" x14ac:dyDescent="0.25">
      <c r="A20" s="48"/>
      <c r="L20" s="44"/>
      <c r="M20" s="38"/>
      <c r="N20" s="39"/>
      <c r="O20" s="28"/>
      <c r="P20" s="28"/>
      <c r="Q20" s="28"/>
    </row>
    <row r="21" spans="1:17" ht="18" customHeight="1" x14ac:dyDescent="0.25">
      <c r="L21" s="1"/>
      <c r="M21" s="16"/>
      <c r="N21" s="17"/>
      <c r="O21" s="1"/>
      <c r="P21" s="1"/>
      <c r="Q21" s="1"/>
    </row>
    <row r="22" spans="1:17" ht="15.75" x14ac:dyDescent="0.25">
      <c r="L22" s="1"/>
      <c r="M22" s="16"/>
      <c r="N22" s="17"/>
      <c r="O22" s="1"/>
      <c r="P22" s="1"/>
      <c r="Q22" s="1"/>
    </row>
  </sheetData>
  <mergeCells count="3">
    <mergeCell ref="A6:B6"/>
    <mergeCell ref="A7:B7"/>
    <mergeCell ref="A8:B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3"/>
  <sheetViews>
    <sheetView workbookViewId="0">
      <selection activeCell="C3" sqref="C3:C4"/>
    </sheetView>
  </sheetViews>
  <sheetFormatPr baseColWidth="10" defaultRowHeight="15" x14ac:dyDescent="0.25"/>
  <cols>
    <col min="1" max="1" width="21.85546875" style="2" customWidth="1"/>
    <col min="2" max="2" width="16.5703125" style="2" customWidth="1"/>
    <col min="3" max="5" width="18.7109375" style="2" customWidth="1"/>
    <col min="6" max="8" width="20" style="2" customWidth="1"/>
    <col min="9" max="9" width="19.85546875" style="2" customWidth="1"/>
    <col min="10" max="10" width="25.85546875" style="2" customWidth="1"/>
    <col min="11" max="11" width="16" style="2" customWidth="1"/>
    <col min="12" max="12" width="4.7109375" style="2" customWidth="1"/>
    <col min="13" max="13" width="15.28515625" style="2" customWidth="1"/>
    <col min="14" max="14" width="16.28515625" style="2" customWidth="1"/>
    <col min="15" max="15" width="8.140625" style="2" customWidth="1"/>
    <col min="16" max="16" width="18" style="2" customWidth="1"/>
    <col min="17" max="17" width="13.85546875" style="2" customWidth="1"/>
    <col min="18" max="16384" width="11.42578125" style="2"/>
  </cols>
  <sheetData>
    <row r="1" spans="1:17" ht="27.75" customHeight="1" thickBot="1" x14ac:dyDescent="0.3">
      <c r="A1" s="4" t="s">
        <v>32</v>
      </c>
      <c r="B1" s="5" t="s">
        <v>10</v>
      </c>
      <c r="C1" s="5" t="s">
        <v>0</v>
      </c>
      <c r="D1" s="6" t="s">
        <v>1</v>
      </c>
      <c r="E1" s="6" t="s">
        <v>2</v>
      </c>
      <c r="F1" s="6" t="s">
        <v>3</v>
      </c>
      <c r="G1" s="6" t="s">
        <v>5</v>
      </c>
      <c r="H1" s="7" t="s">
        <v>11</v>
      </c>
      <c r="I1" s="7" t="s">
        <v>9</v>
      </c>
      <c r="J1" s="7" t="s">
        <v>18</v>
      </c>
      <c r="K1" s="7" t="s">
        <v>20</v>
      </c>
      <c r="L1" s="8"/>
      <c r="M1" s="1"/>
      <c r="N1" s="1"/>
      <c r="O1" s="1"/>
      <c r="P1" s="1"/>
      <c r="Q1" s="1"/>
    </row>
    <row r="2" spans="1:17" ht="18" customHeight="1" thickBot="1" x14ac:dyDescent="0.3">
      <c r="A2" s="9" t="s">
        <v>4</v>
      </c>
      <c r="B2" s="10"/>
      <c r="C2" s="11">
        <f ca="1">WORKDAY(TODAY(),2)</f>
        <v>45163</v>
      </c>
      <c r="D2" s="12"/>
      <c r="E2" s="12"/>
      <c r="F2" s="63">
        <f>-'Curva de rendimientos'!C3</f>
        <v>-438.75</v>
      </c>
      <c r="G2" s="13"/>
      <c r="H2" s="13"/>
      <c r="I2" s="1"/>
      <c r="J2" s="1"/>
      <c r="K2" s="1"/>
      <c r="L2" s="1"/>
      <c r="M2" s="14"/>
      <c r="N2" s="15"/>
      <c r="O2" s="1"/>
      <c r="P2" s="1"/>
      <c r="Q2" s="1"/>
    </row>
    <row r="3" spans="1:17" ht="18" customHeight="1" thickTop="1" thickBot="1" x14ac:dyDescent="0.35">
      <c r="A3" s="40">
        <v>1.55E-2</v>
      </c>
      <c r="B3" s="22">
        <f t="shared" ref="B3:B4" ca="1" si="0">DAYS360($C$2,C3)/360</f>
        <v>0.41944444444444445</v>
      </c>
      <c r="C3" s="23">
        <v>45317</v>
      </c>
      <c r="D3" s="24">
        <f>$A$3/360*DAYS360(Q3,C3)*($C$9-SUM($E$2:E2))</f>
        <v>3.4607957249036354</v>
      </c>
      <c r="E3" s="24"/>
      <c r="F3" s="57">
        <f t="shared" ref="F3:F4" si="1">+D3+E3</f>
        <v>3.4607957249036354</v>
      </c>
      <c r="G3" s="57">
        <f t="shared" ref="G3" ca="1" si="2">F3/((1+$O$4)^(B3))</f>
        <v>3.4089134341966698</v>
      </c>
      <c r="H3" s="25">
        <f ca="1">+G3/$G$5</f>
        <v>7.7692915377719227E-3</v>
      </c>
      <c r="I3" s="24">
        <f t="shared" ref="I3:I4" ca="1" si="3">+H3*B3</f>
        <v>3.2587861727876675E-3</v>
      </c>
      <c r="J3" s="24">
        <f t="shared" ref="J3:J4" ca="1" si="4">G3*B3*(1+B3)</f>
        <v>2.0295923572226022</v>
      </c>
      <c r="K3" s="24">
        <f ca="1">(B3*F3)/$F$5</f>
        <v>3.2010777394824662E-3</v>
      </c>
      <c r="L3" s="24"/>
      <c r="M3" s="26" t="s">
        <v>14</v>
      </c>
      <c r="N3" s="27">
        <f>'Curva de rendimientos'!C3</f>
        <v>438.75</v>
      </c>
      <c r="O3" s="28"/>
      <c r="P3" s="26" t="s">
        <v>27</v>
      </c>
      <c r="Q3" s="29">
        <v>45133</v>
      </c>
    </row>
    <row r="4" spans="1:17" ht="18" customHeight="1" thickBot="1" x14ac:dyDescent="0.35">
      <c r="A4" s="40"/>
      <c r="B4" s="22">
        <f t="shared" ca="1" si="0"/>
        <v>0.9194444444444444</v>
      </c>
      <c r="C4" s="23">
        <f t="shared" ref="C4" si="5">EDATE(C3,6)</f>
        <v>45499</v>
      </c>
      <c r="D4" s="24">
        <f>$A$3/360*DAYS360(C3,C4)*($C$9-SUM($E$2:E3))</f>
        <v>3.4607957249036354</v>
      </c>
      <c r="E4" s="24">
        <f>C9</f>
        <v>446.5542870843401</v>
      </c>
      <c r="F4" s="57">
        <f t="shared" si="1"/>
        <v>450.01508280924372</v>
      </c>
      <c r="G4" s="57">
        <f ca="1">F4/((1+$O$4)^(B4))</f>
        <v>435.35869074484253</v>
      </c>
      <c r="H4" s="25">
        <f ca="1">+G4/$G$5</f>
        <v>0.99223070846222805</v>
      </c>
      <c r="I4" s="24">
        <f t="shared" ca="1" si="3"/>
        <v>0.91230101250277074</v>
      </c>
      <c r="J4" s="24">
        <f t="shared" ca="1" si="4"/>
        <v>768.33082643403634</v>
      </c>
      <c r="K4" s="24">
        <f ca="1">(B4*F4)/$F$5</f>
        <v>0.9124275124459762</v>
      </c>
      <c r="L4" s="24"/>
      <c r="M4" s="26" t="s">
        <v>12</v>
      </c>
      <c r="N4" s="30">
        <f ca="1">((1+O4)^(1/2)-1)*2</f>
        <v>3.6337947620532773E-2</v>
      </c>
      <c r="O4" s="31">
        <f ca="1">XIRR(F2:F4,C2:C4)</f>
        <v>3.666805922985078E-2</v>
      </c>
      <c r="P4" s="26" t="s">
        <v>15</v>
      </c>
      <c r="Q4" s="27">
        <f ca="1">(D3/DAYS360(Q3,C3))*DAYS360(Q3,C2)</f>
        <v>0.55757264456780797</v>
      </c>
    </row>
    <row r="5" spans="1:17" ht="18" customHeight="1" thickBot="1" x14ac:dyDescent="0.35">
      <c r="A5" s="40"/>
      <c r="B5" s="22"/>
      <c r="C5" s="23"/>
      <c r="D5" s="28"/>
      <c r="E5" s="28"/>
      <c r="F5" s="53">
        <f>SUM(F3:F4)</f>
        <v>453.47587853414734</v>
      </c>
      <c r="G5" s="62">
        <f ca="1">SUM(G3:G4)</f>
        <v>438.76760417903921</v>
      </c>
      <c r="H5" s="52">
        <f ca="1">SUM(H3:H4)</f>
        <v>1</v>
      </c>
      <c r="I5" s="41">
        <f ca="1">SUM(I3:I4)</f>
        <v>0.91555979867555837</v>
      </c>
      <c r="J5" s="42">
        <f ca="1">SUM(J3:J4)/((1+O4)^2)</f>
        <v>716.82728075472392</v>
      </c>
      <c r="K5" s="43">
        <f ca="1">SUM(K3:K4)</f>
        <v>0.91562859018545861</v>
      </c>
      <c r="L5" s="24"/>
      <c r="M5" s="26" t="s">
        <v>6</v>
      </c>
      <c r="N5" s="33">
        <f ca="1">I5</f>
        <v>0.91555979867555837</v>
      </c>
      <c r="O5" s="28"/>
      <c r="P5" s="26" t="s">
        <v>17</v>
      </c>
      <c r="Q5" s="27">
        <f ca="1">(C9-SUM(E2:E2))+Q4</f>
        <v>447.11185972890792</v>
      </c>
    </row>
    <row r="6" spans="1:17" ht="18.75" customHeight="1" thickBot="1" x14ac:dyDescent="0.35">
      <c r="A6" s="47"/>
      <c r="B6" s="28"/>
      <c r="C6" s="28"/>
      <c r="L6" s="24"/>
      <c r="M6" s="26" t="s">
        <v>7</v>
      </c>
      <c r="N6" s="34">
        <f ca="1">N5/(1+N4/2)</f>
        <v>0.89922186024710959</v>
      </c>
      <c r="O6" s="28"/>
      <c r="P6" s="26" t="s">
        <v>16</v>
      </c>
      <c r="Q6" s="35">
        <f ca="1">N3/Q5</f>
        <v>0.98129805875876819</v>
      </c>
    </row>
    <row r="7" spans="1:17" ht="20.25" customHeight="1" thickBot="1" x14ac:dyDescent="0.35">
      <c r="A7" s="85" t="s">
        <v>33</v>
      </c>
      <c r="B7" s="86"/>
      <c r="C7" s="79">
        <v>27.110499999999998</v>
      </c>
      <c r="L7" s="24"/>
      <c r="M7" s="26" t="s">
        <v>19</v>
      </c>
      <c r="N7" s="34">
        <f ca="1">J5/N3</f>
        <v>1.6337943720905388</v>
      </c>
      <c r="O7" s="28"/>
      <c r="P7" s="28"/>
      <c r="Q7" s="28"/>
    </row>
    <row r="8" spans="1:17" ht="20.25" customHeight="1" thickBot="1" x14ac:dyDescent="0.35">
      <c r="A8" s="87" t="s">
        <v>25</v>
      </c>
      <c r="B8" s="82"/>
      <c r="C8" s="80">
        <f>'Curva de rendimientos'!D10</f>
        <v>121.06310000000001</v>
      </c>
      <c r="L8" s="24"/>
      <c r="M8" s="26" t="s">
        <v>21</v>
      </c>
      <c r="N8" s="34">
        <f ca="1">K5</f>
        <v>0.91562859018545861</v>
      </c>
      <c r="O8" s="28"/>
      <c r="P8" s="28"/>
      <c r="Q8" s="28"/>
    </row>
    <row r="9" spans="1:17" ht="20.25" customHeight="1" thickBot="1" x14ac:dyDescent="0.35">
      <c r="A9" s="114" t="s">
        <v>26</v>
      </c>
      <c r="B9" s="115"/>
      <c r="C9" s="81">
        <f>100*(1+(C8/C7-1))</f>
        <v>446.5542870843401</v>
      </c>
      <c r="E9" s="59"/>
      <c r="L9" s="24"/>
      <c r="M9" s="36"/>
      <c r="N9" s="37"/>
      <c r="O9" s="28"/>
      <c r="P9" s="28"/>
      <c r="Q9" s="28"/>
    </row>
    <row r="10" spans="1:17" ht="28.5" customHeight="1" x14ac:dyDescent="0.25">
      <c r="A10" s="47"/>
      <c r="L10" s="24"/>
      <c r="M10" s="38"/>
      <c r="N10" s="39"/>
      <c r="O10" s="28"/>
      <c r="P10" s="28"/>
      <c r="Q10" s="28"/>
    </row>
    <row r="11" spans="1:17" ht="18" customHeight="1" x14ac:dyDescent="0.25">
      <c r="A11" s="47"/>
      <c r="L11" s="24"/>
      <c r="M11" s="38"/>
      <c r="N11" s="39"/>
      <c r="O11" s="28"/>
      <c r="P11" s="28"/>
      <c r="Q11" s="28"/>
    </row>
    <row r="12" spans="1:17" ht="18" customHeight="1" x14ac:dyDescent="0.25">
      <c r="L12" s="24"/>
      <c r="M12" s="38"/>
      <c r="N12" s="39"/>
      <c r="O12" s="28"/>
      <c r="P12" s="28"/>
      <c r="Q12" s="28"/>
    </row>
    <row r="13" spans="1:17" ht="18" customHeight="1" x14ac:dyDescent="0.25">
      <c r="A13" s="47"/>
      <c r="D13" s="49"/>
      <c r="L13" s="24"/>
      <c r="M13" s="38"/>
      <c r="N13" s="39"/>
      <c r="O13" s="28"/>
      <c r="P13" s="28"/>
      <c r="Q13" s="28"/>
    </row>
    <row r="14" spans="1:17" ht="18" customHeight="1" x14ac:dyDescent="0.25">
      <c r="A14" s="47"/>
      <c r="L14" s="24"/>
      <c r="M14" s="38"/>
      <c r="N14" s="39"/>
      <c r="O14" s="28"/>
      <c r="P14" s="28"/>
      <c r="Q14" s="28"/>
    </row>
    <row r="15" spans="1:17" ht="18" customHeight="1" x14ac:dyDescent="0.25">
      <c r="A15" s="47"/>
      <c r="B15" s="51"/>
      <c r="D15" s="50"/>
      <c r="L15" s="24"/>
      <c r="M15" s="38"/>
      <c r="N15" s="39"/>
      <c r="O15" s="28"/>
      <c r="P15" s="28"/>
      <c r="Q15" s="28"/>
    </row>
    <row r="16" spans="1:17" ht="18" customHeight="1" x14ac:dyDescent="0.25">
      <c r="A16" s="47"/>
      <c r="L16" s="24"/>
      <c r="M16" s="38"/>
      <c r="N16" s="39"/>
      <c r="O16" s="28"/>
      <c r="P16" s="28"/>
      <c r="Q16" s="28"/>
    </row>
    <row r="17" spans="1:17" ht="18" customHeight="1" x14ac:dyDescent="0.25">
      <c r="A17" s="47"/>
      <c r="L17" s="24"/>
      <c r="M17" s="38"/>
      <c r="N17" s="39"/>
      <c r="O17" s="28"/>
      <c r="P17" s="28"/>
      <c r="Q17" s="28"/>
    </row>
    <row r="18" spans="1:17" ht="18" customHeight="1" x14ac:dyDescent="0.25">
      <c r="A18" s="47"/>
      <c r="L18" s="24"/>
      <c r="M18" s="38"/>
      <c r="N18" s="39"/>
      <c r="O18" s="28"/>
      <c r="P18" s="28"/>
      <c r="Q18" s="28"/>
    </row>
    <row r="19" spans="1:17" ht="18" customHeight="1" x14ac:dyDescent="0.25">
      <c r="A19" s="47"/>
      <c r="L19" s="24"/>
      <c r="M19" s="38"/>
      <c r="N19" s="39"/>
      <c r="O19" s="28"/>
      <c r="P19" s="28"/>
      <c r="Q19" s="28"/>
    </row>
    <row r="20" spans="1:17" ht="18" customHeight="1" x14ac:dyDescent="0.25">
      <c r="A20" s="47"/>
      <c r="L20" s="24"/>
      <c r="M20" s="38"/>
      <c r="N20" s="39"/>
      <c r="O20" s="28"/>
      <c r="P20" s="28"/>
      <c r="Q20" s="28"/>
    </row>
    <row r="21" spans="1:17" ht="18" customHeight="1" x14ac:dyDescent="0.25">
      <c r="A21" s="48"/>
      <c r="L21" s="44"/>
      <c r="M21" s="16"/>
      <c r="N21" s="17"/>
      <c r="O21" s="1"/>
      <c r="P21" s="1"/>
      <c r="Q21" s="1"/>
    </row>
    <row r="22" spans="1:17" ht="18" customHeight="1" x14ac:dyDescent="0.25">
      <c r="L22" s="1"/>
      <c r="M22" s="16"/>
      <c r="N22" s="17"/>
      <c r="O22" s="1"/>
      <c r="P22" s="1"/>
      <c r="Q22" s="1"/>
    </row>
    <row r="23" spans="1:17" x14ac:dyDescent="0.25">
      <c r="L23" s="1"/>
    </row>
  </sheetData>
  <mergeCells count="1">
    <mergeCell ref="A9:B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2"/>
  <sheetViews>
    <sheetView workbookViewId="0">
      <selection activeCell="C2" sqref="C2:C6"/>
    </sheetView>
  </sheetViews>
  <sheetFormatPr baseColWidth="10" defaultRowHeight="15" x14ac:dyDescent="0.25"/>
  <cols>
    <col min="1" max="1" width="21.85546875" style="2" customWidth="1"/>
    <col min="2" max="2" width="16.5703125" style="2" customWidth="1"/>
    <col min="3" max="5" width="18.7109375" style="2" customWidth="1"/>
    <col min="6" max="8" width="20" style="2" customWidth="1"/>
    <col min="9" max="9" width="19.85546875" style="2" customWidth="1"/>
    <col min="10" max="10" width="25.85546875" style="2" customWidth="1"/>
    <col min="11" max="11" width="16" style="2" customWidth="1"/>
    <col min="12" max="12" width="4.7109375" style="2" customWidth="1"/>
    <col min="13" max="13" width="15.28515625" style="2" customWidth="1"/>
    <col min="14" max="14" width="16.28515625" style="2" customWidth="1"/>
    <col min="15" max="15" width="8.140625" style="2" customWidth="1"/>
    <col min="16" max="16" width="18" style="2" customWidth="1"/>
    <col min="17" max="17" width="13.85546875" style="2" customWidth="1"/>
    <col min="18" max="16384" width="11.42578125" style="2"/>
  </cols>
  <sheetData>
    <row r="1" spans="1:17" ht="27.75" customHeight="1" thickBot="1" x14ac:dyDescent="0.3">
      <c r="A1" s="4" t="s">
        <v>32</v>
      </c>
      <c r="B1" s="5" t="s">
        <v>10</v>
      </c>
      <c r="C1" s="5" t="s">
        <v>0</v>
      </c>
      <c r="D1" s="6" t="s">
        <v>1</v>
      </c>
      <c r="E1" s="6" t="s">
        <v>2</v>
      </c>
      <c r="F1" s="6" t="s">
        <v>3</v>
      </c>
      <c r="G1" s="6" t="s">
        <v>5</v>
      </c>
      <c r="H1" s="7" t="s">
        <v>11</v>
      </c>
      <c r="I1" s="7" t="s">
        <v>9</v>
      </c>
      <c r="J1" s="7" t="s">
        <v>18</v>
      </c>
      <c r="K1" s="7" t="s">
        <v>20</v>
      </c>
      <c r="L1" s="8"/>
      <c r="M1" s="1"/>
      <c r="N1" s="1"/>
      <c r="O1" s="1"/>
      <c r="P1" s="1"/>
      <c r="Q1" s="1"/>
    </row>
    <row r="2" spans="1:17" ht="18" customHeight="1" thickBot="1" x14ac:dyDescent="0.3">
      <c r="A2" s="9" t="s">
        <v>4</v>
      </c>
      <c r="B2" s="10"/>
      <c r="C2" s="11">
        <f ca="1">WORKDAY(TODAY(),2)</f>
        <v>45163</v>
      </c>
      <c r="D2" s="12"/>
      <c r="E2" s="12"/>
      <c r="F2" s="63">
        <f>-'Curva de rendimientos'!C4</f>
        <v>-146.9</v>
      </c>
      <c r="G2" s="13"/>
      <c r="H2" s="13"/>
      <c r="I2" s="1"/>
      <c r="J2" s="1"/>
      <c r="K2" s="1"/>
      <c r="L2" s="1"/>
      <c r="M2" s="14"/>
      <c r="N2" s="15"/>
      <c r="O2" s="1"/>
      <c r="P2" s="1"/>
      <c r="Q2" s="1"/>
    </row>
    <row r="3" spans="1:17" ht="18" customHeight="1" thickTop="1" thickBot="1" x14ac:dyDescent="0.35">
      <c r="A3" s="40">
        <v>3.7499999999999999E-2</v>
      </c>
      <c r="B3" s="22">
        <f t="shared" ref="B3:B4" ca="1" si="0">DAYS360($C$2,C3)/360</f>
        <v>0.1361111111111111</v>
      </c>
      <c r="C3" s="23">
        <v>45213</v>
      </c>
      <c r="D3" s="24">
        <f>$A$3/360*DAYS360(Q3,C3)*($C$9-SUM($E$2:E2))</f>
        <v>2.7946787809916849</v>
      </c>
      <c r="E3" s="13"/>
      <c r="F3" s="57">
        <f t="shared" ref="F3" si="1">+D3+E3</f>
        <v>2.7946787809916849</v>
      </c>
      <c r="G3" s="57">
        <f t="shared" ref="G3:G4" ca="1" si="2">F3/((1+$O$4)^(B3))</f>
        <v>2.7638078752588999</v>
      </c>
      <c r="H3" s="25">
        <f ca="1">+G3/$G$5</f>
        <v>1.8810805715407383E-2</v>
      </c>
      <c r="I3" s="24">
        <f t="shared" ref="I3:I4" ca="1" si="3">+H3*B3</f>
        <v>2.5603596668193379E-3</v>
      </c>
      <c r="J3" s="24">
        <f t="shared" ref="J3:J4" ca="1" si="4">G3*B3*(1+B3)</f>
        <v>0.42738791379678709</v>
      </c>
      <c r="K3" s="24">
        <f ca="1">(B3*F3)/$F$5</f>
        <v>2.4598393574297188E-3</v>
      </c>
      <c r="L3" s="24"/>
      <c r="M3" s="26" t="s">
        <v>14</v>
      </c>
      <c r="N3" s="27">
        <f>'Curva de rendimientos'!C5</f>
        <v>145.15</v>
      </c>
      <c r="O3" s="28"/>
      <c r="P3" s="26" t="s">
        <v>27</v>
      </c>
      <c r="Q3" s="29">
        <v>45030</v>
      </c>
    </row>
    <row r="4" spans="1:17" ht="18" customHeight="1" thickBot="1" x14ac:dyDescent="0.35">
      <c r="A4" s="40"/>
      <c r="B4" s="22">
        <f t="shared" ca="1" si="0"/>
        <v>0.63611111111111107</v>
      </c>
      <c r="C4" s="23">
        <f t="shared" ref="C4" si="5">EDATE(C3,6)</f>
        <v>45396</v>
      </c>
      <c r="D4" s="24">
        <f>$A$3/360*DAYS360(C3,C4)*($C$9-SUM($E$2:E3))</f>
        <v>2.7946787809916849</v>
      </c>
      <c r="E4" s="24">
        <f>C9</f>
        <v>149.04953498622319</v>
      </c>
      <c r="F4" s="57">
        <f>+D4+E4</f>
        <v>151.84421376721488</v>
      </c>
      <c r="G4" s="57">
        <f t="shared" ca="1" si="2"/>
        <v>144.16280000497378</v>
      </c>
      <c r="H4" s="25">
        <f ca="1">+G4/$G$5</f>
        <v>0.98118919428459273</v>
      </c>
      <c r="I4" s="24">
        <f t="shared" ca="1" si="3"/>
        <v>0.6241453485865881</v>
      </c>
      <c r="J4" s="24">
        <f t="shared" ca="1" si="4"/>
        <v>150.03721163171963</v>
      </c>
      <c r="K4" s="24">
        <f ca="1">(B4*F4)/$F$5</f>
        <v>0.62461512717536805</v>
      </c>
      <c r="L4" s="24"/>
      <c r="M4" s="26" t="s">
        <v>12</v>
      </c>
      <c r="N4" s="30">
        <f ca="1">((1+O4)^(1/2)-1)*2</f>
        <v>8.3296031300066797E-2</v>
      </c>
      <c r="O4" s="31">
        <f ca="1">XIRR(F2:F4,C2:C4)</f>
        <v>8.5030588507652272E-2</v>
      </c>
      <c r="P4" s="26" t="s">
        <v>15</v>
      </c>
      <c r="Q4" s="27">
        <f ca="1">(D3/DAYS360(Q3,C3))*DAYS360(Q3,C2)</f>
        <v>2.0339051128328371</v>
      </c>
    </row>
    <row r="5" spans="1:17" ht="18" customHeight="1" thickBot="1" x14ac:dyDescent="0.35">
      <c r="A5" s="40"/>
      <c r="B5" s="22"/>
      <c r="C5" s="23"/>
      <c r="D5" s="28"/>
      <c r="E5" s="28"/>
      <c r="F5" s="53">
        <f>SUM(F3:F4)</f>
        <v>154.63889254820657</v>
      </c>
      <c r="G5" s="62">
        <f ca="1">SUM(G3:G4)</f>
        <v>146.92660788023267</v>
      </c>
      <c r="H5" s="52">
        <f ca="1">SUM(H3:H4)</f>
        <v>1</v>
      </c>
      <c r="I5" s="41">
        <f ca="1">SUM(I3:I4)</f>
        <v>0.62670570825340743</v>
      </c>
      <c r="J5" s="42">
        <f ca="1">SUM(J3:J4)/((1+O4)^2)</f>
        <v>127.80574321497012</v>
      </c>
      <c r="K5" s="43">
        <f ca="1">SUM(K3:K4)</f>
        <v>0.62707496653279782</v>
      </c>
      <c r="L5" s="24"/>
      <c r="M5" s="26" t="s">
        <v>6</v>
      </c>
      <c r="N5" s="33">
        <f ca="1">I5</f>
        <v>0.62670570825340743</v>
      </c>
      <c r="O5" s="28"/>
      <c r="P5" s="26" t="s">
        <v>17</v>
      </c>
      <c r="Q5" s="27">
        <f ca="1">(C9-SUM(E2:E2))+Q4</f>
        <v>151.08344009905602</v>
      </c>
    </row>
    <row r="6" spans="1:17" ht="18.75" customHeight="1" thickBot="1" x14ac:dyDescent="0.35">
      <c r="A6" s="47"/>
      <c r="B6" s="28"/>
      <c r="C6" s="28"/>
      <c r="L6" s="24"/>
      <c r="M6" s="26" t="s">
        <v>7</v>
      </c>
      <c r="N6" s="34">
        <f ca="1">N5/(1+N4/2)</f>
        <v>0.60164825242077191</v>
      </c>
      <c r="O6" s="28"/>
      <c r="P6" s="26" t="s">
        <v>16</v>
      </c>
      <c r="Q6" s="35">
        <f ca="1">N3/Q5</f>
        <v>0.96072739609869995</v>
      </c>
    </row>
    <row r="7" spans="1:17" ht="18.75" customHeight="1" thickBot="1" x14ac:dyDescent="0.35">
      <c r="A7" s="83" t="s">
        <v>40</v>
      </c>
      <c r="B7" s="84"/>
      <c r="C7" s="81">
        <v>81.223399999999998</v>
      </c>
      <c r="L7" s="24"/>
      <c r="M7" s="26" t="s">
        <v>19</v>
      </c>
      <c r="N7" s="34">
        <f ca="1">J5/N3</f>
        <v>0.88050804832910867</v>
      </c>
      <c r="O7" s="28"/>
      <c r="P7" s="28"/>
      <c r="Q7" s="28"/>
    </row>
    <row r="8" spans="1:17" ht="21" customHeight="1" thickBot="1" x14ac:dyDescent="0.35">
      <c r="A8" s="83" t="s">
        <v>25</v>
      </c>
      <c r="B8" s="84"/>
      <c r="C8" s="81">
        <f>'Curva de rendimientos'!D10</f>
        <v>121.06310000000001</v>
      </c>
      <c r="L8" s="24"/>
      <c r="M8" s="26" t="s">
        <v>21</v>
      </c>
      <c r="N8" s="34">
        <f ca="1">K5</f>
        <v>0.62707496653279782</v>
      </c>
      <c r="O8" s="28"/>
      <c r="P8" s="28"/>
      <c r="Q8" s="28"/>
    </row>
    <row r="9" spans="1:17" ht="21" customHeight="1" thickBot="1" x14ac:dyDescent="0.35">
      <c r="A9" s="114" t="s">
        <v>26</v>
      </c>
      <c r="B9" s="116"/>
      <c r="C9" s="81">
        <f>100*(1+(C8/C7-1))</f>
        <v>149.04953498622319</v>
      </c>
      <c r="L9" s="24"/>
      <c r="M9" s="36"/>
      <c r="N9" s="37"/>
      <c r="O9" s="28"/>
      <c r="P9" s="28"/>
      <c r="Q9" s="28"/>
    </row>
    <row r="10" spans="1:17" ht="21" customHeight="1" x14ac:dyDescent="0.25">
      <c r="A10" s="47"/>
      <c r="L10" s="24"/>
      <c r="M10" s="38"/>
      <c r="N10" s="39"/>
      <c r="O10" s="28"/>
      <c r="P10" s="28"/>
      <c r="Q10" s="28"/>
    </row>
    <row r="11" spans="1:17" ht="18" customHeight="1" x14ac:dyDescent="0.25">
      <c r="A11" s="47"/>
      <c r="L11" s="24"/>
      <c r="M11" s="38"/>
      <c r="N11" s="39"/>
      <c r="O11" s="28"/>
      <c r="P11" s="28"/>
      <c r="Q11" s="28"/>
    </row>
    <row r="12" spans="1:17" ht="18" customHeight="1" x14ac:dyDescent="0.25">
      <c r="L12" s="24"/>
      <c r="M12" s="38"/>
      <c r="N12" s="39"/>
      <c r="O12" s="28"/>
      <c r="P12" s="28"/>
      <c r="Q12" s="28"/>
    </row>
    <row r="13" spans="1:17" ht="18" customHeight="1" x14ac:dyDescent="0.25">
      <c r="A13" s="47"/>
      <c r="D13" s="49"/>
      <c r="L13" s="24"/>
      <c r="M13" s="38"/>
      <c r="N13" s="39"/>
      <c r="O13" s="28"/>
      <c r="P13" s="28"/>
      <c r="Q13" s="28"/>
    </row>
    <row r="14" spans="1:17" ht="18" customHeight="1" x14ac:dyDescent="0.25">
      <c r="A14" s="47"/>
      <c r="L14" s="24"/>
      <c r="M14" s="38"/>
      <c r="N14" s="39"/>
      <c r="O14" s="28"/>
      <c r="P14" s="28"/>
      <c r="Q14" s="28"/>
    </row>
    <row r="15" spans="1:17" ht="18" customHeight="1" x14ac:dyDescent="0.25">
      <c r="A15" s="47"/>
      <c r="B15" s="51"/>
      <c r="D15" s="50"/>
      <c r="L15" s="24"/>
      <c r="M15" s="38"/>
      <c r="N15" s="39"/>
      <c r="O15" s="28"/>
      <c r="P15" s="28"/>
      <c r="Q15" s="28"/>
    </row>
    <row r="16" spans="1:17" ht="18" customHeight="1" x14ac:dyDescent="0.25">
      <c r="A16" s="47"/>
      <c r="L16" s="24"/>
      <c r="M16" s="38"/>
      <c r="N16" s="39"/>
      <c r="O16" s="28"/>
      <c r="P16" s="28"/>
      <c r="Q16" s="28"/>
    </row>
    <row r="17" spans="1:17" ht="18" customHeight="1" x14ac:dyDescent="0.25">
      <c r="A17" s="47"/>
      <c r="L17" s="24"/>
      <c r="M17" s="38"/>
      <c r="N17" s="39"/>
      <c r="O17" s="28"/>
      <c r="P17" s="28"/>
      <c r="Q17" s="28"/>
    </row>
    <row r="18" spans="1:17" ht="18" customHeight="1" x14ac:dyDescent="0.25">
      <c r="A18" s="47"/>
      <c r="L18" s="24"/>
      <c r="M18" s="38"/>
      <c r="N18" s="39"/>
      <c r="O18" s="28"/>
      <c r="P18" s="28"/>
      <c r="Q18" s="28"/>
    </row>
    <row r="19" spans="1:17" ht="18" customHeight="1" x14ac:dyDescent="0.25">
      <c r="A19" s="47"/>
      <c r="L19" s="24"/>
      <c r="M19" s="38"/>
      <c r="N19" s="39"/>
      <c r="O19" s="28"/>
      <c r="P19" s="28"/>
      <c r="Q19" s="28"/>
    </row>
    <row r="20" spans="1:17" ht="18" customHeight="1" x14ac:dyDescent="0.25">
      <c r="A20" s="47"/>
      <c r="L20" s="44"/>
      <c r="M20" s="38"/>
      <c r="N20" s="39"/>
      <c r="O20" s="28"/>
      <c r="P20" s="28"/>
      <c r="Q20" s="28"/>
    </row>
    <row r="21" spans="1:17" ht="18" customHeight="1" x14ac:dyDescent="0.25">
      <c r="A21" s="48"/>
      <c r="L21" s="1"/>
      <c r="M21" s="16"/>
      <c r="N21" s="17"/>
      <c r="O21" s="1"/>
      <c r="P21" s="1"/>
      <c r="Q21" s="1"/>
    </row>
    <row r="22" spans="1:17" ht="18" customHeight="1" x14ac:dyDescent="0.25">
      <c r="L22" s="1"/>
      <c r="M22" s="16"/>
      <c r="N22" s="17"/>
      <c r="O22" s="1"/>
      <c r="P22" s="1"/>
      <c r="Q22" s="1"/>
    </row>
  </sheetData>
  <mergeCells count="1">
    <mergeCell ref="A9:B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3"/>
  <sheetViews>
    <sheetView workbookViewId="0">
      <selection activeCell="C8" sqref="C8"/>
    </sheetView>
  </sheetViews>
  <sheetFormatPr baseColWidth="10" defaultRowHeight="15" x14ac:dyDescent="0.25"/>
  <cols>
    <col min="1" max="1" width="21.85546875" style="2" customWidth="1"/>
    <col min="2" max="2" width="16.5703125" style="2" customWidth="1"/>
    <col min="3" max="5" width="18.7109375" style="2" customWidth="1"/>
    <col min="6" max="8" width="20" style="2" customWidth="1"/>
    <col min="9" max="9" width="19.85546875" style="2" customWidth="1"/>
    <col min="10" max="10" width="25.85546875" style="2" customWidth="1"/>
    <col min="11" max="11" width="16" style="2" customWidth="1"/>
    <col min="12" max="12" width="4.7109375" style="2" customWidth="1"/>
    <col min="13" max="13" width="15.28515625" style="2" customWidth="1"/>
    <col min="14" max="14" width="16.28515625" style="2" customWidth="1"/>
    <col min="15" max="15" width="8.140625" style="2" customWidth="1"/>
    <col min="16" max="16" width="18" style="2" customWidth="1"/>
    <col min="17" max="17" width="13.85546875" style="2" customWidth="1"/>
    <col min="18" max="16384" width="11.42578125" style="2"/>
  </cols>
  <sheetData>
    <row r="1" spans="1:17" ht="27.75" customHeight="1" thickBot="1" x14ac:dyDescent="0.3">
      <c r="A1" s="4" t="s">
        <v>39</v>
      </c>
      <c r="B1" s="5" t="s">
        <v>10</v>
      </c>
      <c r="C1" s="5" t="s">
        <v>0</v>
      </c>
      <c r="D1" s="6" t="s">
        <v>1</v>
      </c>
      <c r="E1" s="6" t="s">
        <v>2</v>
      </c>
      <c r="F1" s="6" t="s">
        <v>3</v>
      </c>
      <c r="G1" s="6" t="s">
        <v>5</v>
      </c>
      <c r="H1" s="7" t="s">
        <v>11</v>
      </c>
      <c r="I1" s="7" t="s">
        <v>9</v>
      </c>
      <c r="J1" s="7" t="s">
        <v>18</v>
      </c>
      <c r="K1" s="7" t="s">
        <v>20</v>
      </c>
      <c r="L1" s="8"/>
      <c r="M1" s="1"/>
      <c r="N1" s="1"/>
      <c r="O1" s="1"/>
      <c r="P1" s="1"/>
      <c r="Q1" s="1"/>
    </row>
    <row r="2" spans="1:17" ht="18" customHeight="1" thickBot="1" x14ac:dyDescent="0.3">
      <c r="A2" s="9" t="s">
        <v>4</v>
      </c>
      <c r="B2" s="10"/>
      <c r="C2" s="11">
        <f ca="1">WORKDAY(TODAY(),2)</f>
        <v>45163</v>
      </c>
      <c r="D2" s="12"/>
      <c r="E2" s="12"/>
      <c r="F2" s="63">
        <f>-N3</f>
        <v>-145.15</v>
      </c>
      <c r="G2" s="13"/>
      <c r="H2" s="13"/>
      <c r="I2" s="1"/>
      <c r="J2" s="1"/>
      <c r="K2" s="1"/>
      <c r="L2" s="1"/>
      <c r="M2" s="14"/>
      <c r="N2" s="15"/>
      <c r="O2" s="1"/>
      <c r="P2" s="1"/>
      <c r="Q2" s="1"/>
    </row>
    <row r="3" spans="1:17" ht="18" customHeight="1" thickTop="1" thickBot="1" x14ac:dyDescent="0.35">
      <c r="A3" s="40">
        <v>0.04</v>
      </c>
      <c r="B3" s="22">
        <f t="shared" ref="B3:B5" ca="1" si="0">DAYS360($C$2,C3)/360</f>
        <v>0.1361111111111111</v>
      </c>
      <c r="C3" s="23">
        <v>45213</v>
      </c>
      <c r="D3" s="24">
        <f>$A$3/360*DAYS360(Q3,C3)*($C$10-SUM($E$2:E2))</f>
        <v>3.4778224830118747</v>
      </c>
      <c r="E3" s="13"/>
      <c r="F3" s="57">
        <f t="shared" ref="F3:F5" si="1">+D3+E3</f>
        <v>3.4778224830118747</v>
      </c>
      <c r="G3" s="57">
        <f t="shared" ref="G3:G4" ca="1" si="2">F3/((1+$O$4)^(B3))</f>
        <v>3.4404373693857382</v>
      </c>
      <c r="H3" s="25">
        <f ca="1">+G3/$G$6</f>
        <v>2.3696004142907411E-2</v>
      </c>
      <c r="I3" s="24">
        <f t="shared" ref="I3:I5" ca="1" si="3">+H3*B3</f>
        <v>3.2252894527846198E-3</v>
      </c>
      <c r="J3" s="24">
        <f t="shared" ref="J3:J5" ca="1" si="4">G3*B3*(1+B3)</f>
        <v>0.5320201027766942</v>
      </c>
      <c r="K3" s="24">
        <f t="shared" ref="K3:K5" ca="1" si="5">(B3*F3)/$F$6</f>
        <v>2.9867641936607453E-3</v>
      </c>
      <c r="L3" s="24"/>
      <c r="M3" s="26" t="s">
        <v>14</v>
      </c>
      <c r="N3" s="27">
        <f>'Curva de rendimientos'!C5</f>
        <v>145.15</v>
      </c>
      <c r="O3" s="28"/>
      <c r="P3" s="26" t="s">
        <v>27</v>
      </c>
      <c r="Q3" s="29">
        <v>44999</v>
      </c>
    </row>
    <row r="4" spans="1:17" ht="18" customHeight="1" thickBot="1" x14ac:dyDescent="0.35">
      <c r="A4" s="40"/>
      <c r="B4" s="22">
        <f t="shared" ca="1" si="0"/>
        <v>0.63611111111111107</v>
      </c>
      <c r="C4" s="23">
        <f t="shared" ref="C4:C5" si="6">EDATE(C3,6)</f>
        <v>45396</v>
      </c>
      <c r="D4" s="24">
        <f>$A$3/360*DAYS360(C3,C4)*($C$10-SUM($E$2:E3))</f>
        <v>2.980990699724464</v>
      </c>
      <c r="E4" s="24"/>
      <c r="F4" s="57">
        <f t="shared" si="1"/>
        <v>2.980990699724464</v>
      </c>
      <c r="G4" s="57">
        <f t="shared" ca="1" si="2"/>
        <v>2.8341609064185143</v>
      </c>
      <c r="H4" s="25">
        <f ca="1">+G4/$G$6</f>
        <v>1.9520276456057067E-2</v>
      </c>
      <c r="I4" s="24">
        <f t="shared" ca="1" si="3"/>
        <v>1.2417064745658523E-2</v>
      </c>
      <c r="J4" s="24">
        <f t="shared" ca="1" si="4"/>
        <v>2.949648589649966</v>
      </c>
      <c r="K4" s="24">
        <f t="shared" ca="1" si="5"/>
        <v>1.1964472309299895E-2</v>
      </c>
      <c r="L4" s="24"/>
      <c r="M4" s="26" t="s">
        <v>12</v>
      </c>
      <c r="N4" s="30">
        <f ca="1">((1+O4)^(1/2)-1)*2</f>
        <v>8.1001336189401751E-2</v>
      </c>
      <c r="O4" s="31">
        <f ca="1">XIRR(F2:F5,C2:C5)</f>
        <v>8.2641640305519112E-2</v>
      </c>
      <c r="P4" s="26" t="s">
        <v>15</v>
      </c>
      <c r="Q4" s="27">
        <f ca="1">(D3/DAYS360(Q3,C3))*DAYS360(Q3,C2)</f>
        <v>2.6663305703091038</v>
      </c>
    </row>
    <row r="5" spans="1:17" ht="18" customHeight="1" thickBot="1" x14ac:dyDescent="0.35">
      <c r="A5" s="40"/>
      <c r="B5" s="22">
        <f t="shared" ca="1" si="0"/>
        <v>1.1361111111111111</v>
      </c>
      <c r="C5" s="23">
        <f t="shared" si="6"/>
        <v>45579</v>
      </c>
      <c r="D5" s="24">
        <f>$A$3/360*DAYS360(C4,C5)*($C$10-SUM($E$2:E4))</f>
        <v>2.980990699724464</v>
      </c>
      <c r="E5" s="24">
        <f>C10</f>
        <v>149.04953498622319</v>
      </c>
      <c r="F5" s="57">
        <f t="shared" si="1"/>
        <v>152.03052568594765</v>
      </c>
      <c r="G5" s="57">
        <f ca="1">F5/((1+$O$4)^(B5))</f>
        <v>138.91601481815553</v>
      </c>
      <c r="H5" s="25">
        <f ca="1">+G5/$G$6</f>
        <v>0.95678371940103546</v>
      </c>
      <c r="I5" s="24">
        <f t="shared" ca="1" si="3"/>
        <v>1.0870126145417318</v>
      </c>
      <c r="J5" s="24">
        <f t="shared" ca="1" si="4"/>
        <v>337.12965969615038</v>
      </c>
      <c r="K5" s="24">
        <f t="shared" ca="1" si="5"/>
        <v>1.0898119122257051</v>
      </c>
      <c r="L5" s="24"/>
      <c r="M5" s="26" t="s">
        <v>6</v>
      </c>
      <c r="N5" s="33">
        <f ca="1">I6</f>
        <v>1.102654968740175</v>
      </c>
      <c r="O5" s="28"/>
      <c r="P5" s="26" t="s">
        <v>17</v>
      </c>
      <c r="Q5" s="27">
        <f ca="1">(C10-SUM(E2:E2))+Q4</f>
        <v>151.71586555653229</v>
      </c>
    </row>
    <row r="6" spans="1:17" ht="18.75" customHeight="1" thickBot="1" x14ac:dyDescent="0.35">
      <c r="A6" s="21"/>
      <c r="B6" s="22"/>
      <c r="C6" s="23"/>
      <c r="D6" s="28"/>
      <c r="E6" s="28"/>
      <c r="F6" s="53">
        <f>SUM(F3:F5)</f>
        <v>158.489338868684</v>
      </c>
      <c r="G6" s="62">
        <f ca="1">SUM(G3:G5)</f>
        <v>145.1906130939598</v>
      </c>
      <c r="H6" s="52">
        <f ca="1">SUM(H3:H5)</f>
        <v>0.99999999999999989</v>
      </c>
      <c r="I6" s="41">
        <f ca="1">SUM(I3:I5)</f>
        <v>1.102654968740175</v>
      </c>
      <c r="J6" s="42">
        <f ca="1">SUM(J3:J5)/((1+O4)^2)</f>
        <v>290.59600162413966</v>
      </c>
      <c r="K6" s="43">
        <f ca="1">SUM(K3:K5)</f>
        <v>1.1047631487286658</v>
      </c>
      <c r="L6" s="24"/>
      <c r="M6" s="26" t="s">
        <v>7</v>
      </c>
      <c r="N6" s="34">
        <f ca="1">N5/(1+N4/2)</f>
        <v>1.0597349935000879</v>
      </c>
      <c r="O6" s="28"/>
      <c r="P6" s="26" t="s">
        <v>16</v>
      </c>
      <c r="Q6" s="35">
        <f ca="1">N3/Q5</f>
        <v>0.95672261742404441</v>
      </c>
    </row>
    <row r="7" spans="1:17" ht="18.75" customHeight="1" thickBot="1" x14ac:dyDescent="0.35">
      <c r="A7" s="47"/>
      <c r="B7" s="28"/>
      <c r="C7" s="28"/>
      <c r="L7" s="24"/>
      <c r="M7" s="26" t="s">
        <v>19</v>
      </c>
      <c r="N7" s="34">
        <f ca="1">J6/N3</f>
        <v>2.002039280910366</v>
      </c>
      <c r="O7" s="28"/>
      <c r="P7" s="28"/>
      <c r="Q7" s="28"/>
    </row>
    <row r="8" spans="1:17" ht="21" customHeight="1" thickBot="1" x14ac:dyDescent="0.35">
      <c r="A8" s="83" t="s">
        <v>40</v>
      </c>
      <c r="B8" s="84"/>
      <c r="C8" s="81">
        <v>81.223399999999998</v>
      </c>
      <c r="L8" s="24"/>
      <c r="M8" s="26" t="s">
        <v>21</v>
      </c>
      <c r="N8" s="34">
        <f ca="1">K6</f>
        <v>1.1047631487286658</v>
      </c>
      <c r="O8" s="28"/>
      <c r="P8" s="28"/>
      <c r="Q8" s="28"/>
    </row>
    <row r="9" spans="1:17" ht="21" customHeight="1" thickBot="1" x14ac:dyDescent="0.35">
      <c r="A9" s="83" t="s">
        <v>25</v>
      </c>
      <c r="B9" s="84"/>
      <c r="C9" s="81">
        <f>'Curva de rendimientos'!D10</f>
        <v>121.06310000000001</v>
      </c>
      <c r="L9" s="24"/>
      <c r="M9" s="36"/>
      <c r="N9" s="37"/>
      <c r="O9" s="28"/>
      <c r="P9" s="28"/>
      <c r="Q9" s="28"/>
    </row>
    <row r="10" spans="1:17" ht="21" customHeight="1" thickBot="1" x14ac:dyDescent="0.3">
      <c r="A10" s="114" t="s">
        <v>26</v>
      </c>
      <c r="B10" s="116"/>
      <c r="C10" s="81">
        <f>100*(1+(C9/C8-1))</f>
        <v>149.04953498622319</v>
      </c>
      <c r="E10" s="59"/>
      <c r="L10" s="24"/>
      <c r="M10" s="38"/>
      <c r="N10" s="39"/>
      <c r="O10" s="28"/>
      <c r="P10" s="28"/>
      <c r="Q10" s="28"/>
    </row>
    <row r="11" spans="1:17" ht="18" customHeight="1" x14ac:dyDescent="0.25">
      <c r="A11" s="47"/>
      <c r="L11" s="24"/>
      <c r="M11" s="38"/>
      <c r="N11" s="39"/>
      <c r="O11" s="28"/>
      <c r="P11" s="28"/>
      <c r="Q11" s="28"/>
    </row>
    <row r="12" spans="1:17" ht="18" customHeight="1" x14ac:dyDescent="0.25">
      <c r="A12" s="47"/>
      <c r="L12" s="24"/>
      <c r="M12" s="38"/>
      <c r="N12" s="39"/>
      <c r="O12" s="28"/>
      <c r="P12" s="28"/>
      <c r="Q12" s="28"/>
    </row>
    <row r="13" spans="1:17" ht="18" customHeight="1" x14ac:dyDescent="0.25">
      <c r="L13" s="24"/>
      <c r="M13" s="38"/>
      <c r="N13" s="39"/>
      <c r="O13" s="28"/>
      <c r="P13" s="28"/>
      <c r="Q13" s="28"/>
    </row>
    <row r="14" spans="1:17" ht="18" customHeight="1" x14ac:dyDescent="0.25">
      <c r="A14" s="47"/>
      <c r="D14" s="49"/>
      <c r="L14" s="24"/>
      <c r="M14" s="38"/>
      <c r="N14" s="39"/>
      <c r="O14" s="28"/>
      <c r="P14" s="28"/>
      <c r="Q14" s="28"/>
    </row>
    <row r="15" spans="1:17" ht="18" customHeight="1" x14ac:dyDescent="0.25">
      <c r="A15" s="47"/>
      <c r="L15" s="24"/>
      <c r="M15" s="38"/>
      <c r="N15" s="39"/>
      <c r="O15" s="28"/>
      <c r="P15" s="28"/>
      <c r="Q15" s="28"/>
    </row>
    <row r="16" spans="1:17" ht="18" customHeight="1" x14ac:dyDescent="0.25">
      <c r="A16" s="47"/>
      <c r="B16" s="51"/>
      <c r="D16" s="50"/>
      <c r="L16" s="24"/>
      <c r="M16" s="38"/>
      <c r="N16" s="39"/>
      <c r="O16" s="28"/>
      <c r="P16" s="28"/>
      <c r="Q16" s="28"/>
    </row>
    <row r="17" spans="1:17" ht="18" customHeight="1" x14ac:dyDescent="0.25">
      <c r="A17" s="47"/>
      <c r="L17" s="24"/>
      <c r="M17" s="38"/>
      <c r="N17" s="39"/>
      <c r="O17" s="28"/>
      <c r="P17" s="28"/>
      <c r="Q17" s="28"/>
    </row>
    <row r="18" spans="1:17" ht="18" customHeight="1" x14ac:dyDescent="0.25">
      <c r="A18" s="47"/>
      <c r="L18" s="24"/>
      <c r="M18" s="38"/>
      <c r="N18" s="39"/>
      <c r="O18" s="28"/>
      <c r="P18" s="28"/>
      <c r="Q18" s="28"/>
    </row>
    <row r="19" spans="1:17" ht="18" customHeight="1" x14ac:dyDescent="0.25">
      <c r="A19" s="47"/>
      <c r="L19" s="24"/>
      <c r="M19" s="38"/>
      <c r="N19" s="39"/>
      <c r="O19" s="28"/>
      <c r="P19" s="28"/>
      <c r="Q19" s="28"/>
    </row>
    <row r="20" spans="1:17" ht="18" customHeight="1" x14ac:dyDescent="0.25">
      <c r="A20" s="47"/>
      <c r="L20" s="24"/>
      <c r="M20" s="38"/>
      <c r="N20" s="39"/>
      <c r="O20" s="28"/>
      <c r="P20" s="28"/>
      <c r="Q20" s="28"/>
    </row>
    <row r="21" spans="1:17" ht="18" customHeight="1" x14ac:dyDescent="0.25">
      <c r="A21" s="47"/>
      <c r="L21" s="44"/>
      <c r="M21" s="16"/>
      <c r="N21" s="17"/>
      <c r="O21" s="1"/>
      <c r="P21" s="1"/>
      <c r="Q21" s="1"/>
    </row>
    <row r="22" spans="1:17" ht="18" customHeight="1" x14ac:dyDescent="0.25">
      <c r="A22" s="48"/>
      <c r="L22" s="1"/>
      <c r="M22" s="16"/>
      <c r="N22" s="17"/>
      <c r="O22" s="1"/>
      <c r="P22" s="1"/>
      <c r="Q22" s="1"/>
    </row>
    <row r="23" spans="1:17" x14ac:dyDescent="0.25">
      <c r="L23" s="1"/>
    </row>
  </sheetData>
  <mergeCells count="1">
    <mergeCell ref="A10:B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3"/>
  <sheetViews>
    <sheetView workbookViewId="0">
      <selection activeCell="E5" sqref="E5"/>
    </sheetView>
  </sheetViews>
  <sheetFormatPr baseColWidth="10" defaultRowHeight="15" x14ac:dyDescent="0.25"/>
  <cols>
    <col min="1" max="1" width="21.85546875" style="2" customWidth="1"/>
    <col min="2" max="2" width="16.5703125" style="2" customWidth="1"/>
    <col min="3" max="5" width="18.7109375" style="2" customWidth="1"/>
    <col min="6" max="8" width="20" style="2" customWidth="1"/>
    <col min="9" max="9" width="19.85546875" style="2" customWidth="1"/>
    <col min="10" max="10" width="25.85546875" style="2" customWidth="1"/>
    <col min="11" max="11" width="16" style="2" customWidth="1"/>
    <col min="12" max="12" width="4.7109375" style="2" customWidth="1"/>
    <col min="13" max="13" width="15.28515625" style="2" customWidth="1"/>
    <col min="14" max="14" width="16.28515625" style="2" customWidth="1"/>
    <col min="15" max="15" width="8.140625" style="2" customWidth="1"/>
    <col min="16" max="16" width="18" style="2" customWidth="1"/>
    <col min="17" max="17" width="13.85546875" style="2" customWidth="1"/>
    <col min="18" max="16384" width="11.42578125" style="2"/>
  </cols>
  <sheetData>
    <row r="1" spans="1:17" ht="27.75" customHeight="1" thickBot="1" x14ac:dyDescent="0.3">
      <c r="A1" s="4" t="s">
        <v>39</v>
      </c>
      <c r="B1" s="5" t="s">
        <v>10</v>
      </c>
      <c r="C1" s="5" t="s">
        <v>0</v>
      </c>
      <c r="D1" s="6" t="s">
        <v>1</v>
      </c>
      <c r="E1" s="6" t="s">
        <v>2</v>
      </c>
      <c r="F1" s="6" t="s">
        <v>3</v>
      </c>
      <c r="G1" s="6" t="s">
        <v>5</v>
      </c>
      <c r="H1" s="7" t="s">
        <v>11</v>
      </c>
      <c r="I1" s="7" t="s">
        <v>9</v>
      </c>
      <c r="J1" s="7" t="s">
        <v>18</v>
      </c>
      <c r="K1" s="7" t="s">
        <v>20</v>
      </c>
      <c r="L1" s="8"/>
      <c r="M1" s="1"/>
      <c r="N1" s="1"/>
      <c r="O1" s="1"/>
      <c r="P1" s="1"/>
      <c r="Q1" s="1"/>
    </row>
    <row r="2" spans="1:17" ht="18" customHeight="1" thickBot="1" x14ac:dyDescent="0.3">
      <c r="A2" s="9" t="s">
        <v>4</v>
      </c>
      <c r="B2" s="10"/>
      <c r="C2" s="11">
        <f ca="1">WORKDAY(TODAY(),2)</f>
        <v>45163</v>
      </c>
      <c r="D2" s="12"/>
      <c r="E2" s="12"/>
      <c r="F2" s="63">
        <f>-N3</f>
        <v>-145.15</v>
      </c>
      <c r="G2" s="13"/>
      <c r="H2" s="13"/>
      <c r="I2" s="1"/>
      <c r="J2" s="1"/>
      <c r="K2" s="1"/>
      <c r="L2" s="1"/>
      <c r="M2" s="14"/>
      <c r="N2" s="15"/>
      <c r="O2" s="1"/>
      <c r="P2" s="1"/>
      <c r="Q2" s="1"/>
    </row>
    <row r="3" spans="1:17" ht="18" customHeight="1" thickTop="1" thickBot="1" x14ac:dyDescent="0.3">
      <c r="B3" s="22">
        <f t="shared" ref="B3:B5" ca="1" si="0">DAYS360($C$2,C3)/360</f>
        <v>0.46944444444444444</v>
      </c>
      <c r="C3" s="23">
        <v>45336</v>
      </c>
      <c r="D3" s="24">
        <f>$A$4/360*DAYS360(Q3,C3)*($C$10-SUM($E$2:E2))</f>
        <v>3.167302618457243</v>
      </c>
      <c r="E3" s="24"/>
      <c r="F3" s="57">
        <f t="shared" ref="F3:F5" si="1">+D3+E3</f>
        <v>3.167302618457243</v>
      </c>
      <c r="G3" s="57">
        <f t="shared" ref="G3:G5" ca="1" si="2">F3/((1+$O$4)^(B3))</f>
        <v>3.0777756652629522</v>
      </c>
      <c r="H3" s="25">
        <f t="shared" ref="H3:H5" ca="1" si="3">+G3/$G$6</f>
        <v>2.1194877647406012E-2</v>
      </c>
      <c r="I3" s="24">
        <f t="shared" ref="I3:I5" ca="1" si="4">+H3*B3</f>
        <v>9.9498175622544892E-3</v>
      </c>
      <c r="J3" s="24">
        <f t="shared" ref="J3:J5" ca="1" si="5">G3*B3*(1+B3)</f>
        <v>2.1231189988439292</v>
      </c>
      <c r="K3" s="24">
        <f t="shared" ref="K3:K5" ca="1" si="6">(B3*F3)/$F$6</f>
        <v>9.377856116986551E-3</v>
      </c>
      <c r="L3" s="24"/>
      <c r="M3" s="26" t="s">
        <v>14</v>
      </c>
      <c r="N3" s="27">
        <f>'Curva de rendimientos'!C5</f>
        <v>145.15</v>
      </c>
      <c r="O3" s="28"/>
      <c r="P3" s="26" t="s">
        <v>27</v>
      </c>
      <c r="Q3" s="29">
        <v>45152</v>
      </c>
    </row>
    <row r="4" spans="1:17" ht="18" customHeight="1" thickBot="1" x14ac:dyDescent="0.35">
      <c r="A4" s="40">
        <v>4.2500000000000003E-2</v>
      </c>
      <c r="B4" s="22">
        <f t="shared" ca="1" si="0"/>
        <v>0.96944444444444444</v>
      </c>
      <c r="C4" s="23">
        <f>EDATE(C3,6)</f>
        <v>45518</v>
      </c>
      <c r="D4" s="24">
        <f>$A$4/360*DAYS360(C3,C4)*($C$10-SUM($E$2:E3))</f>
        <v>3.167302618457243</v>
      </c>
      <c r="E4" s="24"/>
      <c r="F4" s="57">
        <f t="shared" si="1"/>
        <v>3.167302618457243</v>
      </c>
      <c r="G4" s="57">
        <f t="shared" ca="1" si="2"/>
        <v>2.9852027917798347</v>
      </c>
      <c r="H4" s="25">
        <f t="shared" ca="1" si="3"/>
        <v>2.055738130578235E-2</v>
      </c>
      <c r="I4" s="24">
        <f t="shared" ca="1" si="4"/>
        <v>1.9929239099216779E-2</v>
      </c>
      <c r="J4" s="24">
        <f t="shared" ca="1" si="5"/>
        <v>5.6995491049443991</v>
      </c>
      <c r="K4" s="24">
        <f t="shared" ca="1" si="6"/>
        <v>1.9366105235670453E-2</v>
      </c>
      <c r="L4" s="24"/>
      <c r="M4" s="26" t="s">
        <v>12</v>
      </c>
      <c r="N4" s="30">
        <f ca="1">((1+O4)^(1/2)-1)*2</f>
        <v>6.2021162339811031E-2</v>
      </c>
      <c r="O4" s="31">
        <f ca="1">XIRR(F2:F5,C2:C5)</f>
        <v>6.2982818484306355E-2</v>
      </c>
      <c r="P4" s="26" t="s">
        <v>15</v>
      </c>
      <c r="Q4" s="27">
        <f ca="1">(D3/DAYS360(Q3,C3))*DAYS360(Q3,C2)</f>
        <v>0.19355738223905372</v>
      </c>
    </row>
    <row r="5" spans="1:17" ht="18" customHeight="1" thickBot="1" x14ac:dyDescent="0.35">
      <c r="A5" s="40"/>
      <c r="B5" s="22">
        <f t="shared" ca="1" si="0"/>
        <v>1.4694444444444446</v>
      </c>
      <c r="C5" s="23">
        <f>EDATE(C4,6)</f>
        <v>45702</v>
      </c>
      <c r="D5" s="24">
        <f>$A$4/360*DAYS360(C4,C5)*($C$10-SUM($E$2:E4))</f>
        <v>3.167302618457243</v>
      </c>
      <c r="E5" s="24">
        <f>C10</f>
        <v>149.04953498622319</v>
      </c>
      <c r="F5" s="57">
        <f t="shared" si="1"/>
        <v>152.21683760468045</v>
      </c>
      <c r="G5" s="57">
        <f t="shared" ca="1" si="2"/>
        <v>139.15020542937768</v>
      </c>
      <c r="H5" s="25">
        <f t="shared" ca="1" si="3"/>
        <v>0.95824774104681165</v>
      </c>
      <c r="I5" s="24">
        <f t="shared" ca="1" si="4"/>
        <v>1.4080918194826761</v>
      </c>
      <c r="J5" s="24">
        <f t="shared" ca="1" si="5"/>
        <v>504.93593950257076</v>
      </c>
      <c r="K5" s="24">
        <f t="shared" ca="1" si="6"/>
        <v>1.4107357357357357</v>
      </c>
      <c r="L5" s="24"/>
      <c r="M5" s="26" t="s">
        <v>6</v>
      </c>
      <c r="N5" s="33">
        <f ca="1">I6</f>
        <v>1.4379708761441474</v>
      </c>
      <c r="O5" s="28"/>
      <c r="P5" s="26" t="s">
        <v>17</v>
      </c>
      <c r="Q5" s="27">
        <f ca="1">(C10-SUM(E2:E2))+Q4</f>
        <v>149.24309236846224</v>
      </c>
    </row>
    <row r="6" spans="1:17" ht="18" customHeight="1" thickBot="1" x14ac:dyDescent="0.35">
      <c r="A6" s="21"/>
      <c r="B6" s="22"/>
      <c r="C6" s="23"/>
      <c r="D6" s="28"/>
      <c r="E6" s="28"/>
      <c r="F6" s="53">
        <f>SUM(F3:F5)</f>
        <v>158.55144284159493</v>
      </c>
      <c r="G6" s="53">
        <f ca="1">SUM(G3:G5)</f>
        <v>145.21318388642047</v>
      </c>
      <c r="H6" s="52">
        <f ca="1">SUM(H3:H5)</f>
        <v>1</v>
      </c>
      <c r="I6" s="41">
        <f ca="1">SUM(I3:I5)</f>
        <v>1.4379708761441474</v>
      </c>
      <c r="J6" s="42">
        <f ca="1">SUM(J3:J5)/((1+O4)^2)</f>
        <v>453.7957976554992</v>
      </c>
      <c r="K6" s="43">
        <f ca="1">SUM(K3:K5)</f>
        <v>1.4394796970883927</v>
      </c>
      <c r="L6" s="24"/>
      <c r="M6" s="26" t="s">
        <v>7</v>
      </c>
      <c r="N6" s="34">
        <f ca="1">N5/(1+N4/2)</f>
        <v>1.3947198044393074</v>
      </c>
      <c r="O6" s="28"/>
      <c r="P6" s="26" t="s">
        <v>16</v>
      </c>
      <c r="Q6" s="35">
        <f ca="1">N3/Q5</f>
        <v>0.97257432619824769</v>
      </c>
    </row>
    <row r="7" spans="1:17" ht="18.75" customHeight="1" thickBot="1" x14ac:dyDescent="0.35">
      <c r="A7" s="47"/>
      <c r="B7" s="28"/>
      <c r="C7" s="28"/>
      <c r="L7" s="24"/>
      <c r="M7" s="26" t="s">
        <v>19</v>
      </c>
      <c r="N7" s="34">
        <f ca="1">J6/N3</f>
        <v>3.1263919921150478</v>
      </c>
      <c r="O7" s="28"/>
      <c r="P7" s="28"/>
      <c r="Q7" s="28"/>
    </row>
    <row r="8" spans="1:17" ht="18.75" customHeight="1" thickBot="1" x14ac:dyDescent="0.35">
      <c r="A8" s="88" t="s">
        <v>40</v>
      </c>
      <c r="B8" s="89"/>
      <c r="C8" s="79">
        <v>81.223399999999998</v>
      </c>
      <c r="L8" s="24"/>
      <c r="M8" s="26" t="s">
        <v>21</v>
      </c>
      <c r="N8" s="34">
        <f ca="1">K6</f>
        <v>1.4394796970883927</v>
      </c>
      <c r="O8" s="28"/>
      <c r="P8" s="28"/>
      <c r="Q8" s="28"/>
    </row>
    <row r="9" spans="1:17" ht="19.5" customHeight="1" thickBot="1" x14ac:dyDescent="0.35">
      <c r="A9" s="90" t="s">
        <v>25</v>
      </c>
      <c r="B9" s="77"/>
      <c r="C9" s="80">
        <f>'Curva de rendimientos'!D10</f>
        <v>121.06310000000001</v>
      </c>
      <c r="L9" s="24"/>
      <c r="M9" s="36"/>
      <c r="N9" s="37"/>
      <c r="O9" s="28"/>
      <c r="P9" s="28"/>
      <c r="Q9" s="28"/>
    </row>
    <row r="10" spans="1:17" ht="19.5" customHeight="1" thickBot="1" x14ac:dyDescent="0.3">
      <c r="A10" s="117" t="s">
        <v>26</v>
      </c>
      <c r="B10" s="116"/>
      <c r="C10" s="81">
        <f>100*(1+(C9/C8-1))</f>
        <v>149.04953498622319</v>
      </c>
      <c r="E10" s="59"/>
      <c r="L10" s="24"/>
      <c r="M10" s="38"/>
      <c r="N10" s="39"/>
      <c r="O10" s="28"/>
      <c r="P10" s="28"/>
      <c r="Q10" s="28"/>
    </row>
    <row r="11" spans="1:17" ht="19.5" customHeight="1" x14ac:dyDescent="0.25">
      <c r="A11" s="47"/>
      <c r="L11" s="24"/>
      <c r="M11" s="38"/>
      <c r="N11" s="39"/>
      <c r="O11" s="28"/>
      <c r="P11" s="28"/>
      <c r="Q11" s="28"/>
    </row>
    <row r="12" spans="1:17" ht="18" customHeight="1" x14ac:dyDescent="0.25">
      <c r="A12" s="47"/>
      <c r="L12" s="24"/>
      <c r="M12" s="38"/>
      <c r="N12" s="39"/>
      <c r="O12" s="28"/>
      <c r="P12" s="28"/>
      <c r="Q12" s="28"/>
    </row>
    <row r="13" spans="1:17" ht="18" customHeight="1" x14ac:dyDescent="0.25">
      <c r="L13" s="24"/>
      <c r="M13" s="38"/>
      <c r="N13" s="39"/>
      <c r="O13" s="28"/>
      <c r="P13" s="28"/>
      <c r="Q13" s="28"/>
    </row>
    <row r="14" spans="1:17" ht="18" customHeight="1" x14ac:dyDescent="0.25">
      <c r="A14" s="47"/>
      <c r="D14" s="49"/>
      <c r="L14" s="24"/>
      <c r="M14" s="38"/>
      <c r="N14" s="39"/>
      <c r="O14" s="28"/>
      <c r="P14" s="28"/>
      <c r="Q14" s="28"/>
    </row>
    <row r="15" spans="1:17" ht="18" customHeight="1" x14ac:dyDescent="0.25">
      <c r="A15" s="47"/>
      <c r="L15" s="24"/>
      <c r="M15" s="38"/>
      <c r="N15" s="39"/>
      <c r="O15" s="28"/>
      <c r="P15" s="28"/>
      <c r="Q15" s="28"/>
    </row>
    <row r="16" spans="1:17" ht="18" customHeight="1" x14ac:dyDescent="0.25">
      <c r="A16" s="47"/>
      <c r="B16" s="51"/>
      <c r="D16" s="50"/>
      <c r="L16" s="24"/>
      <c r="M16" s="38"/>
      <c r="N16" s="39"/>
      <c r="O16" s="28"/>
      <c r="P16" s="28"/>
      <c r="Q16" s="28"/>
    </row>
    <row r="17" spans="1:17" ht="18" customHeight="1" x14ac:dyDescent="0.25">
      <c r="A17" s="47"/>
      <c r="L17" s="24"/>
      <c r="M17" s="38"/>
      <c r="N17" s="39"/>
      <c r="O17" s="28"/>
      <c r="P17" s="28"/>
      <c r="Q17" s="28"/>
    </row>
    <row r="18" spans="1:17" ht="18" customHeight="1" x14ac:dyDescent="0.25">
      <c r="A18" s="47"/>
      <c r="L18" s="24"/>
      <c r="M18" s="38"/>
      <c r="N18" s="39"/>
      <c r="O18" s="28"/>
      <c r="P18" s="28"/>
      <c r="Q18" s="28"/>
    </row>
    <row r="19" spans="1:17" ht="18" customHeight="1" x14ac:dyDescent="0.25">
      <c r="A19" s="47"/>
      <c r="L19" s="24"/>
      <c r="M19" s="38"/>
      <c r="N19" s="39"/>
      <c r="O19" s="28"/>
      <c r="P19" s="28"/>
      <c r="Q19" s="28"/>
    </row>
    <row r="20" spans="1:17" ht="18" customHeight="1" x14ac:dyDescent="0.25">
      <c r="A20" s="47"/>
      <c r="L20" s="24"/>
      <c r="M20" s="38"/>
      <c r="N20" s="39"/>
      <c r="O20" s="28"/>
      <c r="P20" s="28"/>
      <c r="Q20" s="28"/>
    </row>
    <row r="21" spans="1:17" ht="18" customHeight="1" x14ac:dyDescent="0.25">
      <c r="A21" s="47"/>
      <c r="L21" s="44"/>
      <c r="M21" s="16"/>
      <c r="N21" s="17"/>
      <c r="O21" s="1"/>
      <c r="P21" s="1"/>
      <c r="Q21" s="1"/>
    </row>
    <row r="22" spans="1:17" ht="18" customHeight="1" x14ac:dyDescent="0.25">
      <c r="A22" s="48"/>
      <c r="L22" s="1"/>
      <c r="M22" s="16"/>
      <c r="N22" s="17"/>
      <c r="O22" s="1"/>
      <c r="P22" s="1"/>
      <c r="Q22" s="1"/>
    </row>
    <row r="23" spans="1:17" ht="18" customHeight="1" x14ac:dyDescent="0.25">
      <c r="L23" s="1"/>
    </row>
  </sheetData>
  <mergeCells count="1">
    <mergeCell ref="A10:B10"/>
  </mergeCells>
  <pageMargins left="0.7" right="0.7" top="0.75" bottom="0.75" header="0.3" footer="0.3"/>
  <pageSetup paperSize="9" orientation="portrait" r:id="rId1"/>
  <ignoredErrors>
    <ignoredError sqref="Q5:Q6 N3:N8 O4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8"/>
  <sheetViews>
    <sheetView workbookViewId="0">
      <selection activeCell="B13" sqref="B13:B15"/>
    </sheetView>
  </sheetViews>
  <sheetFormatPr baseColWidth="10" defaultRowHeight="15" x14ac:dyDescent="0.25"/>
  <cols>
    <col min="1" max="1" width="20.5703125" style="2" customWidth="1"/>
    <col min="2" max="2" width="19.7109375" style="2" customWidth="1"/>
    <col min="3" max="5" width="18.7109375" style="2" customWidth="1"/>
    <col min="6" max="8" width="20" style="2" customWidth="1"/>
    <col min="9" max="9" width="19.85546875" style="2" customWidth="1"/>
    <col min="10" max="10" width="25.85546875" style="2" customWidth="1"/>
    <col min="11" max="11" width="16" style="2" customWidth="1"/>
    <col min="12" max="12" width="4.7109375" style="2" customWidth="1"/>
    <col min="13" max="13" width="15.28515625" style="2" customWidth="1"/>
    <col min="14" max="14" width="16.28515625" style="2" customWidth="1"/>
    <col min="15" max="15" width="8.140625" style="2" customWidth="1"/>
    <col min="16" max="16" width="18" style="2" customWidth="1"/>
    <col min="17" max="17" width="13.85546875" style="2" customWidth="1"/>
    <col min="18" max="16384" width="11.42578125" style="2"/>
  </cols>
  <sheetData>
    <row r="1" spans="1:17" ht="27.75" customHeight="1" thickBot="1" x14ac:dyDescent="0.3">
      <c r="A1" s="4" t="s">
        <v>28</v>
      </c>
      <c r="B1" s="5" t="s">
        <v>10</v>
      </c>
      <c r="C1" s="5" t="s">
        <v>0</v>
      </c>
      <c r="D1" s="6" t="s">
        <v>1</v>
      </c>
      <c r="E1" s="6" t="s">
        <v>2</v>
      </c>
      <c r="F1" s="6" t="s">
        <v>3</v>
      </c>
      <c r="G1" s="6" t="s">
        <v>5</v>
      </c>
      <c r="H1" s="7" t="s">
        <v>11</v>
      </c>
      <c r="I1" s="7" t="s">
        <v>9</v>
      </c>
      <c r="J1" s="7" t="s">
        <v>18</v>
      </c>
      <c r="K1" s="7" t="s">
        <v>20</v>
      </c>
      <c r="L1" s="8"/>
      <c r="M1" s="1"/>
      <c r="N1" s="1"/>
      <c r="O1" s="1"/>
      <c r="P1" s="1"/>
      <c r="Q1" s="1"/>
    </row>
    <row r="2" spans="1:17" ht="18" customHeight="1" thickBot="1" x14ac:dyDescent="0.3">
      <c r="A2" s="9" t="s">
        <v>4</v>
      </c>
      <c r="B2" s="10"/>
      <c r="C2" s="11">
        <f ca="1">WORKDAY(TODAY(),2)</f>
        <v>45163</v>
      </c>
      <c r="D2" s="12"/>
      <c r="E2" s="12"/>
      <c r="F2" s="63">
        <f>-'Curva de rendimientos'!C7</f>
        <v>-487.5</v>
      </c>
      <c r="G2" s="13"/>
      <c r="H2" s="13"/>
      <c r="I2" s="1"/>
      <c r="J2" s="1"/>
      <c r="K2" s="1"/>
      <c r="L2" s="1"/>
      <c r="M2" s="14"/>
      <c r="N2" s="15"/>
      <c r="O2" s="1"/>
      <c r="P2" s="1"/>
      <c r="Q2" s="1"/>
    </row>
    <row r="3" spans="1:17" ht="18" customHeight="1" thickTop="1" thickBot="1" x14ac:dyDescent="0.35">
      <c r="A3" s="40">
        <v>0.02</v>
      </c>
      <c r="B3" s="22">
        <f t="shared" ref="B3:B11" ca="1" si="0">DAYS360($C$2,C3)/360</f>
        <v>-0.7944444444444444</v>
      </c>
      <c r="C3" s="23">
        <v>44874</v>
      </c>
      <c r="D3" s="24">
        <f ca="1">IF(C3&gt;=TODAY(),$A$3/360*DAYS360(Q3,C3)*($B$15-SUM($E$2:E2)),0)</f>
        <v>0</v>
      </c>
      <c r="E3" s="13"/>
      <c r="F3" s="57">
        <f t="shared" ref="F3:F11" ca="1" si="1">+D3+E3</f>
        <v>0</v>
      </c>
      <c r="G3" s="57">
        <f t="shared" ref="G3:G11" ca="1" si="2">F3/((1+$O$4)^(B3))</f>
        <v>0</v>
      </c>
      <c r="H3" s="25">
        <f t="shared" ref="H3:H11" ca="1" si="3">+G3/$G$12</f>
        <v>0</v>
      </c>
      <c r="I3" s="24">
        <f t="shared" ref="I3:I11" ca="1" si="4">+H3*B3</f>
        <v>0</v>
      </c>
      <c r="J3" s="24">
        <f t="shared" ref="J3:J11" ca="1" si="5">G3*B3*(1+B3)</f>
        <v>0</v>
      </c>
      <c r="K3" s="24">
        <f t="shared" ref="K3:K11" ca="1" si="6">(B3*F3)/$F$12</f>
        <v>0</v>
      </c>
      <c r="L3" s="24"/>
      <c r="M3" s="26" t="s">
        <v>14</v>
      </c>
      <c r="N3" s="27">
        <f>'Curva de rendimientos'!C7</f>
        <v>487.5</v>
      </c>
      <c r="O3" s="28"/>
      <c r="P3" s="26" t="s">
        <v>27</v>
      </c>
      <c r="Q3" s="29">
        <f ca="1">IF(C4&gt;=WORKDAY(TODAY(),2),EDATE(C4,-6),C4)</f>
        <v>45055</v>
      </c>
    </row>
    <row r="4" spans="1:17" ht="18" customHeight="1" thickBot="1" x14ac:dyDescent="0.35">
      <c r="A4" s="40"/>
      <c r="B4" s="22">
        <f t="shared" ca="1" si="0"/>
        <v>-0.29444444444444445</v>
      </c>
      <c r="C4" s="23">
        <f t="shared" ref="C4:C11" si="7">EDATE(C3,6)</f>
        <v>45055</v>
      </c>
      <c r="D4" s="24">
        <f ca="1">IF(C4&gt;=WORKDAY(TODAY(),2),$A$3/360*DAYS360(C3,C4)*($B$15-SUM($E$2:E3)),0)</f>
        <v>0</v>
      </c>
      <c r="E4" s="13"/>
      <c r="F4" s="57">
        <f t="shared" ca="1" si="1"/>
        <v>0</v>
      </c>
      <c r="G4" s="57">
        <f t="shared" ca="1" si="2"/>
        <v>0</v>
      </c>
      <c r="H4" s="25">
        <f t="shared" ca="1" si="3"/>
        <v>0</v>
      </c>
      <c r="I4" s="24">
        <f t="shared" ca="1" si="4"/>
        <v>0</v>
      </c>
      <c r="J4" s="24">
        <f t="shared" ca="1" si="5"/>
        <v>0</v>
      </c>
      <c r="K4" s="24">
        <f t="shared" ca="1" si="6"/>
        <v>0</v>
      </c>
      <c r="L4" s="24"/>
      <c r="M4" s="26" t="s">
        <v>12</v>
      </c>
      <c r="N4" s="30">
        <f ca="1">((1+O4)^(1/2)-1)*2</f>
        <v>6.5670180872637207E-2</v>
      </c>
      <c r="O4" s="31">
        <f ca="1">XIRR(F2:F11,C2:C11)</f>
        <v>6.6748324036598222E-2</v>
      </c>
      <c r="P4" s="26" t="s">
        <v>15</v>
      </c>
      <c r="Q4" s="32">
        <f ca="1">IF(C4&gt;=TODAY(),(D4/DAYS360(Q3,C4))*DAYS360(Q3,C2),(D5/DAYS360(Q3,C5))*DAYS360(Q3,C2))</f>
        <v>3.1413401385522999</v>
      </c>
    </row>
    <row r="5" spans="1:17" ht="18" customHeight="1" thickBot="1" x14ac:dyDescent="0.35">
      <c r="A5" s="40"/>
      <c r="B5" s="22">
        <f t="shared" ca="1" si="0"/>
        <v>0.20555555555555555</v>
      </c>
      <c r="C5" s="23">
        <f t="shared" si="7"/>
        <v>45239</v>
      </c>
      <c r="D5" s="24">
        <f>$A$3/360*DAYS360(C4,C5)*($B$15-SUM($E$2:E4))</f>
        <v>5.3343511786737166</v>
      </c>
      <c r="E5" s="13"/>
      <c r="F5" s="57">
        <f t="shared" si="1"/>
        <v>5.3343511786737166</v>
      </c>
      <c r="G5" s="57">
        <f t="shared" ca="1" si="2"/>
        <v>5.2639688389001931</v>
      </c>
      <c r="H5" s="25">
        <f t="shared" ca="1" si="3"/>
        <v>1.079528741948787E-2</v>
      </c>
      <c r="I5" s="24">
        <f t="shared" ca="1" si="4"/>
        <v>2.2190313028947286E-3</v>
      </c>
      <c r="J5" s="24">
        <f t="shared" ca="1" si="5"/>
        <v>1.3044569693681991</v>
      </c>
      <c r="K5" s="24">
        <f t="shared" ca="1" si="6"/>
        <v>1.9576719576719576E-3</v>
      </c>
      <c r="L5" s="24"/>
      <c r="M5" s="26" t="s">
        <v>6</v>
      </c>
      <c r="N5" s="33">
        <f ca="1">I12</f>
        <v>2.1271964252434259</v>
      </c>
      <c r="O5" s="28"/>
      <c r="P5" s="26" t="s">
        <v>17</v>
      </c>
      <c r="Q5" s="27">
        <f ca="1">(B15-SUM(E2:E2))+Q4</f>
        <v>536.576458005924</v>
      </c>
    </row>
    <row r="6" spans="1:17" ht="18.75" customHeight="1" thickBot="1" x14ac:dyDescent="0.35">
      <c r="A6" s="40"/>
      <c r="B6" s="22">
        <f t="shared" ca="1" si="0"/>
        <v>0.7055555555555556</v>
      </c>
      <c r="C6" s="23">
        <f t="shared" si="7"/>
        <v>45421</v>
      </c>
      <c r="D6" s="24">
        <f>$A$3/360*DAYS360(C5,C6)*($B$15-SUM($E$2:E5))</f>
        <v>5.3343511786737166</v>
      </c>
      <c r="E6" s="13"/>
      <c r="F6" s="57">
        <f t="shared" si="1"/>
        <v>5.3343511786737166</v>
      </c>
      <c r="G6" s="57">
        <f t="shared" ca="1" si="2"/>
        <v>5.0966208329312686</v>
      </c>
      <c r="H6" s="25">
        <f t="shared" ca="1" si="3"/>
        <v>1.0452092032356711E-2</v>
      </c>
      <c r="I6" s="24">
        <f t="shared" ca="1" si="4"/>
        <v>7.3745316006072351E-3</v>
      </c>
      <c r="J6" s="24">
        <f t="shared" ca="1" si="5"/>
        <v>6.1330910387394217</v>
      </c>
      <c r="K6" s="24">
        <f t="shared" ca="1" si="6"/>
        <v>6.7195767195767208E-3</v>
      </c>
      <c r="L6" s="24"/>
      <c r="M6" s="26" t="s">
        <v>7</v>
      </c>
      <c r="N6" s="34">
        <f ca="1">N5/(1+N4/2)</f>
        <v>2.0595702498302968</v>
      </c>
      <c r="O6" s="28"/>
      <c r="P6" s="26" t="s">
        <v>16</v>
      </c>
      <c r="Q6" s="35">
        <f ca="1">N3/Q5</f>
        <v>0.908537809898879</v>
      </c>
    </row>
    <row r="7" spans="1:17" ht="18.75" customHeight="1" thickBot="1" x14ac:dyDescent="0.35">
      <c r="A7" s="40"/>
      <c r="B7" s="22">
        <f t="shared" ca="1" si="0"/>
        <v>1.2055555555555555</v>
      </c>
      <c r="C7" s="23">
        <f t="shared" si="7"/>
        <v>45605</v>
      </c>
      <c r="D7" s="24">
        <f>$A$3/360*DAYS360(C6,C7)*($B$15-SUM($E$2:E6))</f>
        <v>5.3343511786737166</v>
      </c>
      <c r="E7" s="24">
        <f>$B$15/5</f>
        <v>106.68702357347433</v>
      </c>
      <c r="F7" s="57">
        <f t="shared" si="1"/>
        <v>112.02137475214805</v>
      </c>
      <c r="G7" s="57">
        <f t="shared" ca="1" si="2"/>
        <v>103.62645351867597</v>
      </c>
      <c r="H7" s="25">
        <f t="shared" ca="1" si="3"/>
        <v>0.21251595217080232</v>
      </c>
      <c r="I7" s="24">
        <f t="shared" ca="1" si="4"/>
        <v>0.25619978678368943</v>
      </c>
      <c r="J7" s="24">
        <f t="shared" ca="1" si="5"/>
        <v>275.53442420309926</v>
      </c>
      <c r="K7" s="24">
        <f t="shared" ca="1" si="6"/>
        <v>0.24111111111111114</v>
      </c>
      <c r="L7" s="24"/>
      <c r="M7" s="26" t="s">
        <v>19</v>
      </c>
      <c r="N7" s="34">
        <f ca="1">J12/N3</f>
        <v>6.3310231405518405</v>
      </c>
      <c r="O7" s="28"/>
      <c r="P7" s="28"/>
      <c r="Q7" s="28"/>
    </row>
    <row r="8" spans="1:17" ht="18.75" customHeight="1" thickBot="1" x14ac:dyDescent="0.35">
      <c r="A8" s="40"/>
      <c r="B8" s="22">
        <f t="shared" ca="1" si="0"/>
        <v>1.7055555555555555</v>
      </c>
      <c r="C8" s="23">
        <f t="shared" si="7"/>
        <v>45786</v>
      </c>
      <c r="D8" s="24">
        <f>$A$3/360*DAYS360(C7,C8)*($B$15-SUM($E$2:E7))</f>
        <v>4.2674809429389731</v>
      </c>
      <c r="E8" s="24">
        <f>$B$15/5</f>
        <v>106.68702357347433</v>
      </c>
      <c r="F8" s="57">
        <f t="shared" si="1"/>
        <v>110.95450451641331</v>
      </c>
      <c r="G8" s="57">
        <f t="shared" ca="1" si="2"/>
        <v>99.376498595120736</v>
      </c>
      <c r="H8" s="25">
        <f t="shared" ca="1" si="3"/>
        <v>0.20380019295494189</v>
      </c>
      <c r="I8" s="24">
        <f t="shared" ca="1" si="4"/>
        <v>0.34759255131759531</v>
      </c>
      <c r="J8" s="24">
        <f t="shared" ca="1" si="5"/>
        <v>458.57039902647864</v>
      </c>
      <c r="K8" s="24">
        <f t="shared" ca="1" si="6"/>
        <v>0.33786243386243386</v>
      </c>
      <c r="L8" s="24"/>
      <c r="M8" s="26" t="s">
        <v>21</v>
      </c>
      <c r="N8" s="34">
        <f ca="1">K12</f>
        <v>2.162698412698413</v>
      </c>
      <c r="O8" s="28"/>
      <c r="P8" s="28"/>
      <c r="Q8" s="28"/>
    </row>
    <row r="9" spans="1:17" ht="18" customHeight="1" x14ac:dyDescent="0.3">
      <c r="A9" s="40"/>
      <c r="B9" s="22">
        <f t="shared" ca="1" si="0"/>
        <v>2.2055555555555557</v>
      </c>
      <c r="C9" s="23">
        <f t="shared" si="7"/>
        <v>45970</v>
      </c>
      <c r="D9" s="24">
        <f>$A$3/360*DAYS360(C8,C9)*($B$15-SUM($E$2:E8))</f>
        <v>3.20061070720423</v>
      </c>
      <c r="E9" s="24">
        <f>$B$15/5</f>
        <v>106.68702357347433</v>
      </c>
      <c r="F9" s="57">
        <f t="shared" si="1"/>
        <v>109.88763428067857</v>
      </c>
      <c r="G9" s="57">
        <f t="shared" ca="1" si="2"/>
        <v>95.292032823769318</v>
      </c>
      <c r="H9" s="25">
        <f t="shared" ca="1" si="3"/>
        <v>0.19542381701005482</v>
      </c>
      <c r="I9" s="24">
        <f t="shared" ca="1" si="4"/>
        <v>0.43101808529439872</v>
      </c>
      <c r="J9" s="24">
        <f t="shared" ca="1" si="5"/>
        <v>673.71761317617336</v>
      </c>
      <c r="K9" s="24">
        <f t="shared" ca="1" si="6"/>
        <v>0.43270899470899477</v>
      </c>
      <c r="L9" s="24"/>
      <c r="M9" s="36"/>
      <c r="N9" s="37"/>
      <c r="O9" s="28"/>
      <c r="P9" s="28"/>
      <c r="Q9" s="28"/>
    </row>
    <row r="10" spans="1:17" ht="18" customHeight="1" x14ac:dyDescent="0.3">
      <c r="A10" s="40"/>
      <c r="B10" s="22">
        <f t="shared" ca="1" si="0"/>
        <v>2.7055555555555557</v>
      </c>
      <c r="C10" s="23">
        <f t="shared" si="7"/>
        <v>46151</v>
      </c>
      <c r="D10" s="24">
        <f>$A$3/360*DAYS360(C9,C10)*($B$15-SUM($E$2:E9))</f>
        <v>2.1337404714694865</v>
      </c>
      <c r="E10" s="24">
        <f>$B$15/5</f>
        <v>106.68702357347433</v>
      </c>
      <c r="F10" s="57">
        <f t="shared" si="1"/>
        <v>108.82076404494381</v>
      </c>
      <c r="G10" s="57">
        <f t="shared" ca="1" si="2"/>
        <v>91.366829351898957</v>
      </c>
      <c r="H10" s="25">
        <f t="shared" ca="1" si="3"/>
        <v>0.18737405437740492</v>
      </c>
      <c r="I10" s="24">
        <f t="shared" ca="1" si="4"/>
        <v>0.5069509137877567</v>
      </c>
      <c r="J10" s="24">
        <f t="shared" ca="1" si="5"/>
        <v>916.00604356629606</v>
      </c>
      <c r="K10" s="24">
        <f t="shared" ca="1" si="6"/>
        <v>0.5256507936507937</v>
      </c>
      <c r="L10" s="24"/>
      <c r="M10" s="38"/>
      <c r="N10" s="39"/>
      <c r="O10" s="28"/>
      <c r="P10" s="28"/>
      <c r="Q10" s="28"/>
    </row>
    <row r="11" spans="1:17" ht="18" customHeight="1" x14ac:dyDescent="0.3">
      <c r="A11" s="40"/>
      <c r="B11" s="22">
        <f t="shared" ca="1" si="0"/>
        <v>3.2055555555555557</v>
      </c>
      <c r="C11" s="23">
        <f t="shared" si="7"/>
        <v>46335</v>
      </c>
      <c r="D11" s="24">
        <f>$A$3/360*DAYS360(C10,C11)*($B$15-SUM($E$2:E10))</f>
        <v>1.0668702357347433</v>
      </c>
      <c r="E11" s="24">
        <f>$B$15/5</f>
        <v>106.68702357347433</v>
      </c>
      <c r="F11" s="57">
        <f t="shared" si="1"/>
        <v>107.75389380920907</v>
      </c>
      <c r="G11" s="57">
        <f t="shared" ca="1" si="2"/>
        <v>87.59488998842933</v>
      </c>
      <c r="H11" s="25">
        <f t="shared" ca="1" si="3"/>
        <v>0.17963860403495149</v>
      </c>
      <c r="I11" s="24">
        <f t="shared" ca="1" si="4"/>
        <v>0.57584152515648346</v>
      </c>
      <c r="J11" s="24">
        <f t="shared" ca="1" si="5"/>
        <v>1180.8791482455574</v>
      </c>
      <c r="K11" s="24">
        <f t="shared" ca="1" si="6"/>
        <v>0.61668783068783073</v>
      </c>
      <c r="L11" s="24"/>
      <c r="M11" s="38"/>
      <c r="N11" s="39"/>
      <c r="O11" s="28"/>
      <c r="P11" s="28"/>
      <c r="Q11" s="28"/>
    </row>
    <row r="12" spans="1:17" ht="18" customHeight="1" thickBot="1" x14ac:dyDescent="0.3">
      <c r="A12" s="21"/>
      <c r="B12" s="28"/>
      <c r="C12" s="28"/>
      <c r="D12" s="28"/>
      <c r="E12" s="28"/>
      <c r="F12" s="53">
        <f ca="1">SUM(F3:F11)</f>
        <v>560.1068737607402</v>
      </c>
      <c r="G12" s="62">
        <f ca="1">SUM(G3:G11)</f>
        <v>487.61729394972576</v>
      </c>
      <c r="H12" s="52">
        <f ca="1">SUM(H3:H11)</f>
        <v>1</v>
      </c>
      <c r="I12" s="41">
        <f ca="1">SUM(I3:I11)</f>
        <v>2.1271964252434259</v>
      </c>
      <c r="J12" s="42">
        <f ca="1">SUM(J3:J11)/((1+O4)^2)</f>
        <v>3086.3737810190223</v>
      </c>
      <c r="K12" s="43">
        <f ca="1">SUM(K3:K11)</f>
        <v>2.162698412698413</v>
      </c>
      <c r="L12" s="24"/>
      <c r="M12" s="38"/>
      <c r="N12" s="39"/>
      <c r="O12" s="28"/>
      <c r="P12" s="28"/>
      <c r="Q12" s="28"/>
    </row>
    <row r="13" spans="1:17" ht="18" customHeight="1" x14ac:dyDescent="0.25">
      <c r="A13" s="72" t="s">
        <v>24</v>
      </c>
      <c r="B13" s="79">
        <v>22.695</v>
      </c>
      <c r="K13" s="24"/>
      <c r="L13" s="38"/>
      <c r="M13" s="39"/>
      <c r="N13" s="28"/>
      <c r="O13" s="28"/>
      <c r="P13" s="28"/>
    </row>
    <row r="14" spans="1:17" ht="28.5" customHeight="1" thickBot="1" x14ac:dyDescent="0.3">
      <c r="A14" s="72" t="s">
        <v>25</v>
      </c>
      <c r="B14" s="80">
        <f>'Curva de rendimientos'!D10</f>
        <v>121.06310000000001</v>
      </c>
      <c r="K14" s="24"/>
      <c r="L14" s="38"/>
      <c r="M14" s="39"/>
      <c r="N14" s="28"/>
      <c r="O14" s="28"/>
      <c r="P14" s="28"/>
    </row>
    <row r="15" spans="1:17" ht="28.5" customHeight="1" thickBot="1" x14ac:dyDescent="0.3">
      <c r="A15" s="72" t="s">
        <v>26</v>
      </c>
      <c r="B15" s="81">
        <f>100*(1+(B14/B13-1))</f>
        <v>533.43511786737167</v>
      </c>
      <c r="K15" s="24"/>
      <c r="L15" s="38"/>
      <c r="M15" s="39"/>
      <c r="N15" s="28"/>
      <c r="O15" s="28"/>
      <c r="P15" s="28"/>
    </row>
    <row r="16" spans="1:17" ht="28.5" customHeight="1" x14ac:dyDescent="0.25">
      <c r="L16" s="24"/>
      <c r="M16" s="38"/>
      <c r="N16" s="39"/>
      <c r="O16" s="28"/>
      <c r="P16" s="28"/>
      <c r="Q16" s="28"/>
    </row>
    <row r="17" spans="1:17" ht="18" customHeight="1" x14ac:dyDescent="0.25">
      <c r="A17" s="47"/>
      <c r="L17" s="24"/>
      <c r="M17" s="38"/>
      <c r="N17" s="39"/>
      <c r="O17" s="28"/>
      <c r="P17" s="28"/>
      <c r="Q17" s="28"/>
    </row>
    <row r="18" spans="1:17" ht="18" customHeight="1" x14ac:dyDescent="0.25">
      <c r="A18" s="47"/>
      <c r="L18" s="24"/>
      <c r="M18" s="38"/>
      <c r="N18" s="39"/>
      <c r="O18" s="28"/>
      <c r="P18" s="28"/>
      <c r="Q18" s="28"/>
    </row>
    <row r="19" spans="1:17" ht="18" customHeight="1" x14ac:dyDescent="0.25">
      <c r="L19" s="24"/>
      <c r="M19" s="38"/>
      <c r="N19" s="39"/>
      <c r="O19" s="28"/>
      <c r="P19" s="28"/>
      <c r="Q19" s="28"/>
    </row>
    <row r="20" spans="1:17" ht="18" customHeight="1" x14ac:dyDescent="0.25">
      <c r="A20" s="47"/>
      <c r="D20" s="49"/>
      <c r="L20" s="44"/>
      <c r="M20" s="38"/>
      <c r="N20" s="39"/>
      <c r="O20" s="28"/>
      <c r="P20" s="28"/>
      <c r="Q20" s="28"/>
    </row>
    <row r="21" spans="1:17" ht="18" customHeight="1" x14ac:dyDescent="0.25">
      <c r="A21" s="47"/>
      <c r="B21" s="51"/>
      <c r="L21" s="1"/>
      <c r="M21" s="16"/>
      <c r="N21" s="17"/>
      <c r="O21" s="1"/>
      <c r="P21" s="1"/>
      <c r="Q21" s="1"/>
    </row>
    <row r="22" spans="1:17" ht="15.75" x14ac:dyDescent="0.25">
      <c r="A22" s="47"/>
      <c r="D22" s="50"/>
      <c r="L22" s="1"/>
      <c r="M22" s="16"/>
      <c r="N22" s="17"/>
      <c r="O22" s="1"/>
      <c r="P22" s="1"/>
      <c r="Q22" s="1"/>
    </row>
    <row r="23" spans="1:17" x14ac:dyDescent="0.25">
      <c r="A23" s="47"/>
    </row>
    <row r="24" spans="1:17" x14ac:dyDescent="0.25">
      <c r="A24" s="47"/>
    </row>
    <row r="25" spans="1:17" x14ac:dyDescent="0.25">
      <c r="A25" s="47"/>
    </row>
    <row r="26" spans="1:17" x14ac:dyDescent="0.25">
      <c r="A26" s="47"/>
    </row>
    <row r="27" spans="1:17" x14ac:dyDescent="0.25">
      <c r="A27" s="47"/>
    </row>
    <row r="28" spans="1:17" x14ac:dyDescent="0.25">
      <c r="A28" s="48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31"/>
  <sheetViews>
    <sheetView workbookViewId="0">
      <selection activeCell="Q4" sqref="Q4"/>
    </sheetView>
  </sheetViews>
  <sheetFormatPr baseColWidth="10" defaultRowHeight="15" x14ac:dyDescent="0.25"/>
  <cols>
    <col min="1" max="1" width="17.5703125" style="2" customWidth="1"/>
    <col min="2" max="2" width="16.5703125" style="2" customWidth="1"/>
    <col min="3" max="5" width="18.7109375" style="2" customWidth="1"/>
    <col min="6" max="8" width="20" style="2" customWidth="1"/>
    <col min="9" max="9" width="19.85546875" style="2" customWidth="1"/>
    <col min="10" max="10" width="25.85546875" style="2" customWidth="1"/>
    <col min="11" max="11" width="16" style="2" customWidth="1"/>
    <col min="12" max="12" width="4.7109375" style="2" customWidth="1"/>
    <col min="13" max="13" width="15.28515625" style="2" customWidth="1"/>
    <col min="14" max="14" width="16.28515625" style="2" customWidth="1"/>
    <col min="15" max="15" width="8.140625" style="2" customWidth="1"/>
    <col min="16" max="16" width="18" style="2" customWidth="1"/>
    <col min="17" max="17" width="13.85546875" style="2" customWidth="1"/>
    <col min="18" max="16384" width="11.42578125" style="2"/>
  </cols>
  <sheetData>
    <row r="1" spans="1:17" ht="27.75" customHeight="1" thickBot="1" x14ac:dyDescent="0.3">
      <c r="A1" s="4" t="s">
        <v>31</v>
      </c>
      <c r="B1" s="5" t="s">
        <v>10</v>
      </c>
      <c r="C1" s="5" t="s">
        <v>0</v>
      </c>
      <c r="D1" s="6" t="s">
        <v>1</v>
      </c>
      <c r="E1" s="6" t="s">
        <v>2</v>
      </c>
      <c r="F1" s="6" t="s">
        <v>3</v>
      </c>
      <c r="G1" s="6" t="s">
        <v>5</v>
      </c>
      <c r="H1" s="7" t="s">
        <v>11</v>
      </c>
      <c r="I1" s="7" t="s">
        <v>9</v>
      </c>
      <c r="J1" s="7" t="s">
        <v>18</v>
      </c>
      <c r="K1" s="7" t="s">
        <v>20</v>
      </c>
      <c r="L1" s="8"/>
      <c r="M1" s="1"/>
      <c r="N1" s="1"/>
      <c r="O1" s="1"/>
      <c r="P1" s="1"/>
      <c r="Q1" s="1"/>
    </row>
    <row r="2" spans="1:17" ht="18" customHeight="1" thickBot="1" x14ac:dyDescent="0.3">
      <c r="A2" s="9" t="s">
        <v>4</v>
      </c>
      <c r="B2" s="10"/>
      <c r="C2" s="11">
        <f ca="1">WORKDAY(TODAY(),2)</f>
        <v>45163</v>
      </c>
      <c r="D2" s="12"/>
      <c r="E2" s="12"/>
      <c r="F2" s="63">
        <f>-'Curva de rendimientos'!C8</f>
        <v>-471.1</v>
      </c>
      <c r="G2" s="13"/>
      <c r="H2" s="13"/>
      <c r="I2" s="1"/>
      <c r="J2" s="1"/>
      <c r="K2" s="1"/>
      <c r="L2" s="1"/>
      <c r="M2" s="14"/>
      <c r="N2" s="15"/>
      <c r="O2" s="1"/>
      <c r="P2" s="1"/>
      <c r="Q2" s="1"/>
    </row>
    <row r="3" spans="1:17" ht="18" customHeight="1" thickTop="1" thickBot="1" x14ac:dyDescent="0.35">
      <c r="A3" s="40">
        <v>2.2499999999999999E-2</v>
      </c>
      <c r="B3" s="22">
        <f t="shared" ref="B3:B15" ca="1" si="0">DAYS360($C$2,C3)/360</f>
        <v>-0.7944444444444444</v>
      </c>
      <c r="C3" s="23">
        <v>44874</v>
      </c>
      <c r="D3" s="24">
        <f ca="1">IF(C3&gt;=TODAY(),$A$3/360*DAYS360(Q3,C3)*($B$19-SUM($E$2:E2)),0)</f>
        <v>0</v>
      </c>
      <c r="E3" s="13"/>
      <c r="F3" s="57">
        <f t="shared" ref="F3:F15" ca="1" si="1">+D3+E3</f>
        <v>0</v>
      </c>
      <c r="G3" s="57">
        <f t="shared" ref="G3:G15" ca="1" si="2">F3/((1+$O$4)^(B3))</f>
        <v>0</v>
      </c>
      <c r="H3" s="25">
        <f ca="1">+G3/$G$16</f>
        <v>0</v>
      </c>
      <c r="I3" s="24">
        <f t="shared" ref="I3:I15" ca="1" si="3">+H3*B3</f>
        <v>0</v>
      </c>
      <c r="J3" s="24">
        <f t="shared" ref="J3:J15" ca="1" si="4">G3*B3*(1+B3)</f>
        <v>0</v>
      </c>
      <c r="K3" s="24">
        <f t="shared" ref="K3:K15" ca="1" si="5">(B3*F3)/$F$16</f>
        <v>0</v>
      </c>
      <c r="L3" s="1"/>
      <c r="M3" s="26" t="s">
        <v>14</v>
      </c>
      <c r="N3" s="27">
        <f>'Curva de rendimientos'!C8</f>
        <v>471.1</v>
      </c>
      <c r="O3" s="28"/>
      <c r="P3" s="26" t="s">
        <v>27</v>
      </c>
      <c r="Q3" s="29">
        <f ca="1">IF(C4&gt;=TODAY(),EDATE(C4,-6),C4)</f>
        <v>45055</v>
      </c>
    </row>
    <row r="4" spans="1:17" ht="18" customHeight="1" thickBot="1" x14ac:dyDescent="0.35">
      <c r="A4" s="40"/>
      <c r="B4" s="22">
        <f t="shared" ca="1" si="0"/>
        <v>-0.29444444444444445</v>
      </c>
      <c r="C4" s="23">
        <f t="shared" ref="C4:C15" si="6">EDATE(C3,6)</f>
        <v>45055</v>
      </c>
      <c r="D4" s="24">
        <f ca="1">IF(C4&gt;=WORKDAY(TODAY(),2),$A$3/360*DAYS360(C3,C4)*($B$19-SUM($E$2:E3)),0)</f>
        <v>0</v>
      </c>
      <c r="E4" s="13"/>
      <c r="F4" s="57">
        <f t="shared" ca="1" si="1"/>
        <v>0</v>
      </c>
      <c r="G4" s="57">
        <f t="shared" ca="1" si="2"/>
        <v>0</v>
      </c>
      <c r="H4" s="25">
        <f ca="1">+G4/$G$16</f>
        <v>0</v>
      </c>
      <c r="I4" s="24">
        <f t="shared" ca="1" si="3"/>
        <v>0</v>
      </c>
      <c r="J4" s="24">
        <f t="shared" ca="1" si="4"/>
        <v>0</v>
      </c>
      <c r="K4" s="24">
        <f t="shared" ca="1" si="5"/>
        <v>0</v>
      </c>
      <c r="L4" s="24"/>
      <c r="M4" s="26" t="s">
        <v>12</v>
      </c>
      <c r="N4" s="30">
        <f ca="1">((1+O4)^(1/2)-1)*2</f>
        <v>7.0449009839294252E-2</v>
      </c>
      <c r="O4" s="31">
        <f ca="1">XIRR(F2:F15,C2:C15)</f>
        <v>7.1689775586128254E-2</v>
      </c>
      <c r="P4" s="26" t="s">
        <v>15</v>
      </c>
      <c r="Q4" s="32">
        <f ca="1">IF(C4&gt;=TODAY(),(D4/DAYS360(Q3,C4))*DAYS360(Q3,C2),(D5/DAYS360(Q3,C5))*DAYS360(Q3,C2))</f>
        <v>3.5340076558713371</v>
      </c>
    </row>
    <row r="5" spans="1:17" ht="18" customHeight="1" thickBot="1" x14ac:dyDescent="0.35">
      <c r="A5" s="40"/>
      <c r="B5" s="22">
        <f t="shared" ca="1" si="0"/>
        <v>0.20555555555555555</v>
      </c>
      <c r="C5" s="23">
        <f t="shared" si="6"/>
        <v>45239</v>
      </c>
      <c r="D5" s="24">
        <f>$A$3/360*DAYS360(C4,C5)*($B$19-SUM($E$2:E4))</f>
        <v>6.0011450760079308</v>
      </c>
      <c r="E5" s="13"/>
      <c r="F5" s="57">
        <f t="shared" si="1"/>
        <v>6.0011450760079308</v>
      </c>
      <c r="G5" s="57">
        <f t="shared" ca="1" si="2"/>
        <v>5.9163418230456477</v>
      </c>
      <c r="H5" s="25">
        <f ca="1">+G5/$G$16</f>
        <v>1.2555316000482453E-2</v>
      </c>
      <c r="I5" s="24">
        <f t="shared" ca="1" si="3"/>
        <v>2.5808149556547262E-3</v>
      </c>
      <c r="J5" s="24">
        <f t="shared" ca="1" si="4"/>
        <v>1.4661206326306637</v>
      </c>
      <c r="K5" s="24">
        <f t="shared" ca="1" si="5"/>
        <v>2.1549213744903898E-3</v>
      </c>
      <c r="L5" s="24"/>
      <c r="M5" s="26" t="s">
        <v>6</v>
      </c>
      <c r="N5" s="33">
        <f ca="1">I16</f>
        <v>2.7375400247516715</v>
      </c>
      <c r="O5" s="28"/>
      <c r="P5" s="26" t="s">
        <v>17</v>
      </c>
      <c r="Q5" s="27">
        <f ca="1">(B19-SUM(E2:E2))+Q4</f>
        <v>536.96912552324306</v>
      </c>
    </row>
    <row r="6" spans="1:17" ht="18.75" customHeight="1" thickBot="1" x14ac:dyDescent="0.35">
      <c r="A6" s="40"/>
      <c r="B6" s="22">
        <f t="shared" ca="1" si="0"/>
        <v>0.7055555555555556</v>
      </c>
      <c r="C6" s="23">
        <f t="shared" si="6"/>
        <v>45421</v>
      </c>
      <c r="D6" s="24">
        <f>$A$3/360*DAYS360(C5,C6)*($B$19-SUM($E$2:E5))</f>
        <v>6.0011450760079308</v>
      </c>
      <c r="E6" s="24">
        <f t="shared" ref="E6:E10" si="7">$B$19/10</f>
        <v>53.343511786737167</v>
      </c>
      <c r="F6" s="57">
        <f t="shared" si="1"/>
        <v>59.344656862745097</v>
      </c>
      <c r="G6" s="57">
        <f t="shared" ca="1" si="2"/>
        <v>56.515322655858036</v>
      </c>
      <c r="H6" s="25">
        <f t="shared" ref="H6:H15" ca="1" si="8">+G6/$G$16</f>
        <v>0.11993352582326754</v>
      </c>
      <c r="I6" s="24">
        <f t="shared" ca="1" si="3"/>
        <v>8.4619765441972097E-2</v>
      </c>
      <c r="J6" s="24">
        <f t="shared" ca="1" si="4"/>
        <v>68.008515895964479</v>
      </c>
      <c r="K6" s="24">
        <f t="shared" ca="1" si="5"/>
        <v>7.3144373260855503E-2</v>
      </c>
      <c r="L6" s="24"/>
      <c r="M6" s="26" t="s">
        <v>7</v>
      </c>
      <c r="N6" s="34">
        <f ca="1">N5/(1+N4/2)</f>
        <v>2.6443926044468546</v>
      </c>
      <c r="O6" s="28"/>
      <c r="P6" s="26" t="s">
        <v>16</v>
      </c>
      <c r="Q6" s="35">
        <f ca="1">N3/Q5</f>
        <v>0.8773316334359863</v>
      </c>
    </row>
    <row r="7" spans="1:17" ht="18.75" customHeight="1" thickBot="1" x14ac:dyDescent="0.35">
      <c r="A7" s="40"/>
      <c r="B7" s="22">
        <f t="shared" ca="1" si="0"/>
        <v>1.2055555555555555</v>
      </c>
      <c r="C7" s="23">
        <f t="shared" si="6"/>
        <v>45605</v>
      </c>
      <c r="D7" s="24">
        <f>$A$3/360*DAYS360(C6,C7)*($B$19-SUM($E$2:E6))</f>
        <v>5.4010305684071378</v>
      </c>
      <c r="E7" s="24">
        <f t="shared" si="7"/>
        <v>53.343511786737167</v>
      </c>
      <c r="F7" s="57">
        <f t="shared" si="1"/>
        <v>58.744542355144304</v>
      </c>
      <c r="G7" s="57">
        <f t="shared" ca="1" si="2"/>
        <v>54.040277376730266</v>
      </c>
      <c r="H7" s="25">
        <f t="shared" ca="1" si="8"/>
        <v>0.11468112889888657</v>
      </c>
      <c r="I7" s="24">
        <f t="shared" ca="1" si="3"/>
        <v>0.13825447206143546</v>
      </c>
      <c r="J7" s="24">
        <f t="shared" ca="1" si="4"/>
        <v>143.68876097925727</v>
      </c>
      <c r="K7" s="24">
        <f t="shared" ca="1" si="5"/>
        <v>0.12371513621950429</v>
      </c>
      <c r="L7" s="24"/>
      <c r="M7" s="26" t="s">
        <v>19</v>
      </c>
      <c r="N7" s="34">
        <f ca="1">J16/N3</f>
        <v>10.736791996450879</v>
      </c>
      <c r="O7" s="28"/>
      <c r="P7" s="28"/>
      <c r="Q7" s="28"/>
    </row>
    <row r="8" spans="1:17" ht="18.75" customHeight="1" thickBot="1" x14ac:dyDescent="0.35">
      <c r="A8" s="40"/>
      <c r="B8" s="22">
        <f t="shared" ca="1" si="0"/>
        <v>1.7055555555555555</v>
      </c>
      <c r="C8" s="23">
        <f t="shared" si="6"/>
        <v>45786</v>
      </c>
      <c r="D8" s="24">
        <f>$A$3/360*DAYS360(C7,C8)*($B$19-SUM($E$2:E7))</f>
        <v>4.8009160608063448</v>
      </c>
      <c r="E8" s="24">
        <f t="shared" si="7"/>
        <v>53.343511786737167</v>
      </c>
      <c r="F8" s="57">
        <f t="shared" si="1"/>
        <v>58.144427847543511</v>
      </c>
      <c r="G8" s="57">
        <f t="shared" ca="1" si="2"/>
        <v>51.668232161634393</v>
      </c>
      <c r="H8" s="25">
        <f t="shared" ca="1" si="8"/>
        <v>0.10964731271082362</v>
      </c>
      <c r="I8" s="24">
        <f t="shared" ca="1" si="3"/>
        <v>0.18700958334568249</v>
      </c>
      <c r="J8" s="24">
        <f t="shared" ca="1" si="4"/>
        <v>238.4217815510431</v>
      </c>
      <c r="K8" s="24">
        <f t="shared" ca="1" si="5"/>
        <v>0.17323755905002264</v>
      </c>
      <c r="L8" s="24"/>
      <c r="M8" s="26" t="s">
        <v>21</v>
      </c>
      <c r="N8" s="34">
        <f ca="1">K16</f>
        <v>2.8834821717465866</v>
      </c>
      <c r="O8" s="28"/>
      <c r="P8" s="28"/>
      <c r="Q8" s="28"/>
    </row>
    <row r="9" spans="1:17" ht="18" customHeight="1" x14ac:dyDescent="0.3">
      <c r="A9" s="40"/>
      <c r="B9" s="22">
        <f t="shared" ca="1" si="0"/>
        <v>2.2055555555555557</v>
      </c>
      <c r="C9" s="23">
        <f t="shared" si="6"/>
        <v>45970</v>
      </c>
      <c r="D9" s="24">
        <f>$A$3/360*DAYS360(C8,C9)*($B$19-SUM($E$2:E8))</f>
        <v>4.2008015532055518</v>
      </c>
      <c r="E9" s="24">
        <f t="shared" si="7"/>
        <v>53.343511786737167</v>
      </c>
      <c r="F9" s="57">
        <f t="shared" si="1"/>
        <v>57.544313339942718</v>
      </c>
      <c r="G9" s="57">
        <f t="shared" ca="1" si="2"/>
        <v>49.39504318170863</v>
      </c>
      <c r="H9" s="25">
        <f t="shared" ca="1" si="8"/>
        <v>0.10482328346683885</v>
      </c>
      <c r="I9" s="24">
        <f t="shared" ca="1" si="3"/>
        <v>0.23119357520186126</v>
      </c>
      <c r="J9" s="24">
        <f t="shared" ca="1" si="4"/>
        <v>349.22447983304988</v>
      </c>
      <c r="K9" s="24">
        <f t="shared" ca="1" si="5"/>
        <v>0.22171164175241057</v>
      </c>
      <c r="L9" s="24"/>
      <c r="M9" s="36"/>
      <c r="N9" s="37"/>
      <c r="O9" s="28"/>
      <c r="P9" s="28"/>
      <c r="Q9" s="28"/>
    </row>
    <row r="10" spans="1:17" ht="18" customHeight="1" x14ac:dyDescent="0.3">
      <c r="A10" s="40"/>
      <c r="B10" s="22">
        <f t="shared" ca="1" si="0"/>
        <v>2.7055555555555557</v>
      </c>
      <c r="C10" s="23">
        <f t="shared" si="6"/>
        <v>46151</v>
      </c>
      <c r="D10" s="24">
        <f>$A$3/360*DAYS360(C9,C10)*($B$19-SUM($E$2:E9))</f>
        <v>3.6006870456047588</v>
      </c>
      <c r="E10" s="24">
        <f t="shared" si="7"/>
        <v>53.343511786737167</v>
      </c>
      <c r="F10" s="57">
        <f t="shared" si="1"/>
        <v>56.944198832341925</v>
      </c>
      <c r="G10" s="57">
        <f t="shared" ca="1" si="2"/>
        <v>47.216729353630669</v>
      </c>
      <c r="H10" s="25">
        <f t="shared" ca="1" si="8"/>
        <v>0.1002005927437967</v>
      </c>
      <c r="I10" s="24">
        <f t="shared" ca="1" si="3"/>
        <v>0.27109827036793888</v>
      </c>
      <c r="J10" s="24">
        <f t="shared" ca="1" si="4"/>
        <v>473.37540059291661</v>
      </c>
      <c r="K10" s="24">
        <f t="shared" ca="1" si="5"/>
        <v>0.26913738432666801</v>
      </c>
      <c r="L10" s="24"/>
      <c r="M10" s="38"/>
      <c r="N10" s="39"/>
      <c r="O10" s="28"/>
      <c r="P10" s="28"/>
      <c r="Q10" s="28"/>
    </row>
    <row r="11" spans="1:17" ht="18" customHeight="1" x14ac:dyDescent="0.3">
      <c r="A11" s="40"/>
      <c r="B11" s="22">
        <f t="shared" ca="1" si="0"/>
        <v>3.2055555555555557</v>
      </c>
      <c r="C11" s="23">
        <f t="shared" si="6"/>
        <v>46335</v>
      </c>
      <c r="D11" s="24">
        <f>$A$3/360*DAYS360(C10,C11)*($B$19-SUM($E$2:E10))</f>
        <v>3.0005725380039654</v>
      </c>
      <c r="E11" s="24">
        <f>$B$19/10</f>
        <v>53.343511786737167</v>
      </c>
      <c r="F11" s="57">
        <f t="shared" si="1"/>
        <v>56.344084324741132</v>
      </c>
      <c r="G11" s="57">
        <f t="shared" ca="1" si="2"/>
        <v>45.129466062055378</v>
      </c>
      <c r="H11" s="25">
        <f t="shared" ca="1" si="8"/>
        <v>9.5771124165788757E-2</v>
      </c>
      <c r="I11" s="24">
        <f t="shared" ca="1" si="3"/>
        <v>0.30699965913144511</v>
      </c>
      <c r="J11" s="24">
        <f t="shared" ca="1" si="4"/>
        <v>608.39673925244165</v>
      </c>
      <c r="K11" s="24">
        <f t="shared" ca="1" si="5"/>
        <v>0.31551478677279499</v>
      </c>
      <c r="L11" s="24"/>
      <c r="M11" s="38"/>
      <c r="N11" s="39"/>
      <c r="O11" s="28"/>
      <c r="P11" s="28"/>
      <c r="Q11" s="28"/>
    </row>
    <row r="12" spans="1:17" ht="18" customHeight="1" x14ac:dyDescent="0.3">
      <c r="A12" s="40"/>
      <c r="B12" s="22">
        <f t="shared" ca="1" si="0"/>
        <v>3.7055555555555557</v>
      </c>
      <c r="C12" s="23">
        <f t="shared" si="6"/>
        <v>46516</v>
      </c>
      <c r="D12" s="24">
        <f>$A$3/360*DAYS360(C11,C12)*($B$19-SUM($E$2:E11))</f>
        <v>2.4004580304031724</v>
      </c>
      <c r="E12" s="24">
        <f>$B$19/10</f>
        <v>53.343511786737167</v>
      </c>
      <c r="F12" s="57">
        <f t="shared" si="1"/>
        <v>55.743969817140339</v>
      </c>
      <c r="G12" s="57">
        <f t="shared" ca="1" si="2"/>
        <v>43.129579120831345</v>
      </c>
      <c r="H12" s="25">
        <f t="shared" ca="1" si="8"/>
        <v>9.1527080588979307E-2</v>
      </c>
      <c r="I12" s="24">
        <f t="shared" ca="1" si="3"/>
        <v>0.33915868196027332</v>
      </c>
      <c r="J12" s="24">
        <f t="shared" ca="1" si="4"/>
        <v>752.03742576341199</v>
      </c>
      <c r="K12" s="24">
        <f t="shared" ca="1" si="5"/>
        <v>0.36084384909079148</v>
      </c>
      <c r="L12" s="24"/>
      <c r="M12" s="38"/>
      <c r="N12" s="39"/>
      <c r="O12" s="28"/>
      <c r="P12" s="28"/>
      <c r="Q12" s="28"/>
    </row>
    <row r="13" spans="1:17" ht="18" customHeight="1" x14ac:dyDescent="0.3">
      <c r="A13" s="40"/>
      <c r="B13" s="22">
        <f t="shared" ca="1" si="0"/>
        <v>4.2055555555555557</v>
      </c>
      <c r="C13" s="23">
        <f t="shared" si="6"/>
        <v>46700</v>
      </c>
      <c r="D13" s="24">
        <f>$A$3/360*DAYS360(C12,C13)*($B$19-SUM($E$2:E12))</f>
        <v>1.8003435228023794</v>
      </c>
      <c r="E13" s="24">
        <f>$B$19/10</f>
        <v>53.343511786737167</v>
      </c>
      <c r="F13" s="57">
        <f t="shared" si="1"/>
        <v>55.143855309539546</v>
      </c>
      <c r="G13" s="57">
        <f t="shared" ca="1" si="2"/>
        <v>41.213538964014994</v>
      </c>
      <c r="H13" s="25">
        <f t="shared" ca="1" si="8"/>
        <v>8.7460971774113813E-2</v>
      </c>
      <c r="I13" s="24">
        <f t="shared" ca="1" si="3"/>
        <v>0.36782197573891201</v>
      </c>
      <c r="J13" s="24">
        <f t="shared" ca="1" si="4"/>
        <v>902.25722558723805</v>
      </c>
      <c r="K13" s="24">
        <f t="shared" ca="1" si="5"/>
        <v>0.40512457128065749</v>
      </c>
      <c r="L13" s="24"/>
      <c r="M13" s="38"/>
      <c r="N13" s="39"/>
      <c r="O13" s="28"/>
      <c r="P13" s="28"/>
      <c r="Q13" s="28"/>
    </row>
    <row r="14" spans="1:17" ht="18" customHeight="1" x14ac:dyDescent="0.3">
      <c r="A14" s="40"/>
      <c r="B14" s="22">
        <f t="shared" ca="1" si="0"/>
        <v>4.7055555555555557</v>
      </c>
      <c r="C14" s="23">
        <f t="shared" si="6"/>
        <v>46882</v>
      </c>
      <c r="D14" s="24">
        <f>$A$3/360*DAYS360(C13,C14)*($B$19-SUM($E$2:E13))</f>
        <v>1.2002290152015862</v>
      </c>
      <c r="E14" s="24">
        <f>$B$19/10</f>
        <v>53.343511786737167</v>
      </c>
      <c r="F14" s="57">
        <f t="shared" si="1"/>
        <v>54.543740801938753</v>
      </c>
      <c r="G14" s="57">
        <f t="shared" ca="1" si="2"/>
        <v>39.377955058035447</v>
      </c>
      <c r="H14" s="25">
        <f t="shared" ca="1" si="8"/>
        <v>8.3565602528340735E-2</v>
      </c>
      <c r="I14" s="24">
        <f t="shared" ca="1" si="3"/>
        <v>0.39322258523058112</v>
      </c>
      <c r="J14" s="24">
        <f t="shared" ca="1" si="4"/>
        <v>1057.2118021104395</v>
      </c>
      <c r="K14" s="24">
        <f t="shared" ca="1" si="5"/>
        <v>0.44835695334239312</v>
      </c>
      <c r="L14" s="24"/>
      <c r="M14" s="38"/>
      <c r="N14" s="39"/>
      <c r="O14" s="28"/>
      <c r="P14" s="28"/>
      <c r="Q14" s="28"/>
    </row>
    <row r="15" spans="1:17" ht="18" customHeight="1" x14ac:dyDescent="0.3">
      <c r="A15" s="40"/>
      <c r="B15" s="22">
        <f t="shared" ca="1" si="0"/>
        <v>5.2055555555555557</v>
      </c>
      <c r="C15" s="23">
        <f t="shared" si="6"/>
        <v>47066</v>
      </c>
      <c r="D15" s="24">
        <f>$A$3/360*DAYS360(C14,C15)*($B$19-SUM($E$2:E14))</f>
        <v>0.6001145076007931</v>
      </c>
      <c r="E15" s="24">
        <f>$B$19/10</f>
        <v>53.343511786737167</v>
      </c>
      <c r="F15" s="57">
        <f t="shared" si="1"/>
        <v>53.94362629433796</v>
      </c>
      <c r="G15" s="57">
        <f t="shared" ca="1" si="2"/>
        <v>37.619570526686076</v>
      </c>
      <c r="H15" s="25">
        <f t="shared" ca="1" si="8"/>
        <v>7.9834061298681591E-2</v>
      </c>
      <c r="I15" s="24">
        <f t="shared" ca="1" si="3"/>
        <v>0.41558064131591477</v>
      </c>
      <c r="J15" s="24">
        <f t="shared" ca="1" si="4"/>
        <v>1215.2386876782384</v>
      </c>
      <c r="K15" s="24">
        <f t="shared" ca="1" si="5"/>
        <v>0.49054099527599826</v>
      </c>
      <c r="L15" s="24"/>
      <c r="M15" s="38"/>
      <c r="N15" s="39"/>
      <c r="O15" s="28"/>
      <c r="P15" s="28"/>
      <c r="Q15" s="28"/>
    </row>
    <row r="16" spans="1:17" ht="18" customHeight="1" thickBot="1" x14ac:dyDescent="0.3">
      <c r="A16" s="47"/>
      <c r="B16" s="28"/>
      <c r="C16" s="28"/>
      <c r="D16" s="28"/>
      <c r="E16" s="28"/>
      <c r="F16" s="53">
        <f ca="1">SUM(F3:F15)</f>
        <v>572.4425608614232</v>
      </c>
      <c r="G16" s="62">
        <f ca="1">SUM(G3:G15)</f>
        <v>471.22205628423092</v>
      </c>
      <c r="H16" s="52">
        <f ca="1">SUM(H3:H15)</f>
        <v>1</v>
      </c>
      <c r="I16" s="41">
        <f ca="1">SUM(I3:I15)</f>
        <v>2.7375400247516715</v>
      </c>
      <c r="J16" s="42">
        <f ca="1">SUM(J3:J15)/((1+O4)^2)</f>
        <v>5058.1027095280097</v>
      </c>
      <c r="K16" s="43">
        <f ca="1">SUM(K3:K15)</f>
        <v>2.8834821717465866</v>
      </c>
      <c r="L16" s="24"/>
      <c r="M16" s="38"/>
      <c r="N16" s="39"/>
      <c r="O16" s="28"/>
      <c r="P16" s="28"/>
      <c r="Q16" s="28"/>
    </row>
    <row r="17" spans="1:17" ht="18" customHeight="1" x14ac:dyDescent="0.25">
      <c r="A17" s="74" t="s">
        <v>24</v>
      </c>
      <c r="B17" s="79">
        <v>22.695</v>
      </c>
      <c r="K17" s="24"/>
      <c r="L17" s="38"/>
      <c r="M17" s="39"/>
      <c r="N17" s="28"/>
      <c r="O17" s="28"/>
      <c r="P17" s="28"/>
    </row>
    <row r="18" spans="1:17" ht="27.75" customHeight="1" thickBot="1" x14ac:dyDescent="0.3">
      <c r="A18" s="75" t="s">
        <v>25</v>
      </c>
      <c r="B18" s="80">
        <f>'Curva de rendimientos'!D10</f>
        <v>121.06310000000001</v>
      </c>
      <c r="K18" s="24"/>
      <c r="L18" s="38"/>
      <c r="M18" s="39"/>
      <c r="N18" s="28"/>
      <c r="O18" s="28"/>
      <c r="P18" s="28"/>
    </row>
    <row r="19" spans="1:17" ht="27.75" customHeight="1" thickBot="1" x14ac:dyDescent="0.3">
      <c r="A19" s="73" t="s">
        <v>26</v>
      </c>
      <c r="B19" s="81">
        <f>100*(1+(B18/B17-1))</f>
        <v>533.43511786737167</v>
      </c>
      <c r="K19" s="24"/>
      <c r="L19" s="38"/>
      <c r="M19" s="39"/>
      <c r="N19" s="28"/>
      <c r="O19" s="28"/>
      <c r="P19" s="28"/>
    </row>
    <row r="20" spans="1:17" ht="27.75" customHeight="1" x14ac:dyDescent="0.25">
      <c r="A20" s="47"/>
      <c r="L20" s="24"/>
      <c r="M20" s="38"/>
      <c r="N20" s="39"/>
      <c r="O20" s="28"/>
      <c r="P20" s="28"/>
      <c r="Q20" s="28"/>
    </row>
    <row r="21" spans="1:17" ht="18" customHeight="1" x14ac:dyDescent="0.25">
      <c r="A21" s="47"/>
      <c r="L21" s="44"/>
      <c r="M21" s="16"/>
      <c r="N21" s="17"/>
      <c r="O21" s="1"/>
      <c r="P21" s="1"/>
      <c r="Q21" s="1"/>
    </row>
    <row r="22" spans="1:17" ht="15.75" x14ac:dyDescent="0.25">
      <c r="L22" s="1"/>
      <c r="M22" s="16"/>
      <c r="N22" s="17"/>
      <c r="O22" s="1"/>
      <c r="P22" s="1"/>
      <c r="Q22" s="1"/>
    </row>
    <row r="23" spans="1:17" x14ac:dyDescent="0.25">
      <c r="A23" s="47"/>
      <c r="L23" s="1"/>
    </row>
    <row r="24" spans="1:17" x14ac:dyDescent="0.25">
      <c r="A24" s="47"/>
      <c r="D24" s="49"/>
    </row>
    <row r="25" spans="1:17" x14ac:dyDescent="0.25">
      <c r="A25" s="47"/>
      <c r="B25" s="51"/>
    </row>
    <row r="26" spans="1:17" x14ac:dyDescent="0.25">
      <c r="A26" s="47"/>
      <c r="D26" s="50"/>
    </row>
    <row r="27" spans="1:17" x14ac:dyDescent="0.25">
      <c r="A27" s="47"/>
    </row>
    <row r="28" spans="1:17" x14ac:dyDescent="0.25">
      <c r="A28" s="47"/>
    </row>
    <row r="29" spans="1:17" x14ac:dyDescent="0.25">
      <c r="A29" s="47"/>
    </row>
    <row r="30" spans="1:17" x14ac:dyDescent="0.25">
      <c r="A30" s="47"/>
    </row>
    <row r="31" spans="1:17" x14ac:dyDescent="0.25">
      <c r="A31" s="48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7 5 e 3 7 9 3 5 - 6 c c b - 4 f b b - a d 8 0 - 1 0 a 4 e 0 1 d 5 9 b 2 "   x m l n s = " h t t p : / / s c h e m a s . m i c r o s o f t . c o m / D a t a M a s h u p " > A A A A A C c E A A B Q S w M E F A A C A A g A n J K E V m x Q L N e l A A A A 9 g A A A B I A H A B D b 2 5 m a W c v U G F j a 2 F n Z S 5 4 b W w g o h g A K K A U A A A A A A A A A A A A A A A A A A A A A A A A A A A A h Y 9 B D o I w F E S v Q r q n L d U Y Q j 4 l x q 0 k R h P j t i k V G q E Y W i x 3 c + G R v I I Y R d 2 5 n D d v M X O / 3 i A b m j q 4 q M 7 q 1 q Q o w h Q F y s i 2 0 K Z M U e + O Y Y w y D h s h T 6 J U w S g b m w y 2 S F H l 3 D k h x H u P / Q y 3 X U k Y p R E 5 5 O u d r F Q j 0 E f W / + V Q G + u E k Q p x 2 L / G c I a j a I 7 j B c M U y A Q h 1 + Y r s H H v s / 2 B s O p r 1 3 e K K x s u t 0 C m C O T 9 g T 8 A U E s D B B Q A A g A I A J y S h F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c k o R W V + n X Y i A B A A A t A g A A E w A c A E Z v c m 1 1 b G F z L 1 N l Y 3 R p b 2 4 x L m 0 g o h g A K K A U A A A A A A A A A A A A A A A A A A A A A A A A A A A A n Z D R S 8 M w E M b f C / 0 f Q v b S Q k m 3 + e b Y w 5 y C L + J g B Z E x 5 N J e 2 0 C a l C T d 1 L H / 3 X T d k I E g m p c 7 f k e + + + 6 z m D u h F V k P d T I L g z C w N R g s y I h m w C W S M Y l u Y k r m R K I L A + L f s x E V K k 9 e k L M V V B j 1 z V I r h 8 r Z i N b O t f Y 2 T f e W c S 0 t G C Z U q d O 7 1 6 d F u p u + 5 S D z T k K h D b C 2 b m k c J 4 P u P T g Y e 9 l B / z A + b n q y P U 9 H 9 E H l w P H T / 7 S k N b r R O + H b 3 t r J K V v 1 z O E j Q o H G R i e 5 h G z O e C H l 2 q 8 G Y + f O d L i N w 0 C o X 6 R / z O N / W e z 3 j O f + 4 k p z B i Y t s I R O O g b 2 D w F k o t U k h 4 Y L b / T 7 7 s y A s q U 2 z V L L r l H Z R 4 u X 6 w 8 H O s A J T Y j z A + L w 3 R 0 T c u H T K 3 6 8 C u V 6 3 e w L U E s B A i 0 A F A A C A A g A n J K E V m x Q L N e l A A A A 9 g A A A B I A A A A A A A A A A A A A A A A A A A A A A E N v b m Z p Z y 9 Q Y W N r Y W d l L n h t b F B L A Q I t A B Q A A g A I A J y S h F Y P y u m r p A A A A O k A A A A T A A A A A A A A A A A A A A A A A P E A A A B b Q 2 9 u d G V u d F 9 U e X B l c 1 0 u e G 1 s U E s B A i 0 A F A A C A A g A n J K E V l f p 1 2 I g A Q A A L Q I A A B M A A A A A A A A A A A A A A A A A 4 g E A A E Z v c m 1 1 b G F z L 1 N l Y 3 R p b 2 4 x L m 1 Q S w U G A A A A A A M A A w D C A A A A T w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/ x E A A A A A A A D d E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C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Q 2 9 1 b n Q i I F Z h b H V l P S J s M z I i I C 8 + P E V u d H J 5 I F R 5 c G U 9 I k Z p b G x F c n J v c k N v d W 5 0 I i B W Y W x 1 Z T 0 i b D A i I C 8 + P E V u d H J 5 I F R 5 c G U 9 I l F 1 Z X J 5 S U Q i I F Z h b H V l P S J z O G J l Z j E 4 M 2 Q t N z k 4 O S 0 0 Y T B h L T g w N j I t Z T k 5 M T g 0 N z c 1 Z D A 4 I i A v P j x F b n R y e S B U e X B l P S J G a W x s V G 9 E Y X R h T W 9 k Z W x F b m F i b G V k I i B W Y W x 1 Z T 0 i b D A i I C 8 + P E V u d H J 5 I F R 5 c G U 9 I k Z p b G x P Y m p l Y 3 R U e X B l I i B W Y W x 1 Z T 0 i c 0 N v b m 5 l Y 3 R p b 2 5 P b m x 5 I i A v P j x F b n R y e S B U e X B l P S J G a W x s T G F z d F V w Z G F 0 Z W Q i I F Z h b H V l P S J k M j A y M y 0 w N C 0 w N F Q y M T o x O T o y M i 4 0 M T Q 1 O D A 0 W i I g L z 4 8 R W 5 0 c n k g V H l w Z T 0 i R m l s b E N v b H V t b l R 5 c G V z I i B W Y W x 1 Z T 0 i c 0 J n W U c i I C 8 + P E V u d H J 5 I F R 5 c G U 9 I k Z p b G x D b 2 x 1 b W 5 O Y W 1 l c y I g V m F s d W U 9 I n N b J n F 1 b 3 Q 7 R X N w Z W N p Z S Z x d W 9 0 O y w m c X V v d D t Q b G F 6 b y B k Z S B s a X F 1 a W R h Y 2 n D s 2 4 m c X V v d D s s J n F 1 b 3 Q 7 w 5 p s d G l t b y B Q c m V j a W 8 m c X V v d D t d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I D A g K D M p L 0 F 1 d G 9 S Z W 1 v d m V k Q 2 9 s d W 1 u c z E u e 0 V z c G V j a W U s M H 0 m c X V v d D s s J n F 1 b 3 Q 7 U 2 V j d G l v b j E v V G F i b G U g M C A o M y k v Q X V 0 b 1 J l b W 9 2 Z W R D b 2 x 1 b W 5 z M S 5 7 U G x h e m 8 g Z G U g b G l x d W l k Y W N p w 7 N u L D F 9 J n F 1 b 3 Q 7 L C Z x d W 9 0 O 1 N l Y 3 R p b 2 4 x L 1 R h Y m x l I D A g K D M p L 0 F 1 d G 9 S Z W 1 v d m V k Q 2 9 s d W 1 u c z E u e 8 O a b H R p b W 8 g U H J l Y 2 l v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I D A g K D M p L 0 F 1 d G 9 S Z W 1 v d m V k Q 2 9 s d W 1 u c z E u e 0 V z c G V j a W U s M H 0 m c X V v d D s s J n F 1 b 3 Q 7 U 2 V j d G l v b j E v V G F i b G U g M C A o M y k v Q X V 0 b 1 J l b W 9 2 Z W R D b 2 x 1 b W 5 z M S 5 7 U G x h e m 8 g Z G U g b G l x d W l k Y W N p w 7 N u L D F 9 J n F 1 b 3 Q 7 L C Z x d W 9 0 O 1 N l Y 3 R p b 2 4 x L 1 R h Y m x l I D A g K D M p L 0 F 1 d G 9 S Z W 1 v d m V k Q 2 9 s d W 1 u c z E u e 8 O a b H R p b W 8 g U H J l Y 2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S U y M D A l M j A o M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w J T I w K D M p L 0 R h d G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w J T I w K D M p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l Z E N v b X B s Z X R l U m V z d W x 0 V G 9 X b 3 J r c 2 h l Z X Q i I F Z h b H V l P S J s M S I g L z 4 8 R W 5 0 c n k g V H l w Z T 0 i R m l s b E x h c 3 R V c G R h d G V k I i B W Y W x 1 Z T 0 i Z D I w M j M t M D Q t M D R U M j E 6 M T k 6 M j I u N D M w M j A w M 1 o i I C 8 + P E V u d H J 5 I F R 5 c G U 9 I k Z p b G x T d G F 0 d X M i I F Z h b H V l P S J z Q 2 9 t c G x l d G U i I C 8 + P E V u d H J 5 I F R 5 c G U 9 I k Z p b G x D b 2 x 1 b W 5 O Y W 1 l c y I g V m F s d W U 9 I n N b J n F 1 b 3 Q 7 Q 2 9 s d W 1 u M S Z x d W 9 0 O y w m c X V v d D t D b 2 x 1 b W 4 y J n F 1 b 3 Q 7 X S I g L z 4 8 R W 5 0 c n k g V H l w Z T 0 i U X V l c n l J R C I g V m F s d W U 9 I n N m Y m Y y N m M 4 M C 1 l M 2 I z L T Q 3 M j c t Y T U 1 Y i 1 m Z m E 0 M T E y N z c z N z M i I C 8 + P E V u d H J 5 I F R 5 c G U 9 I k Z p b G x U b 0 R h d G F N b 2 R l b E V u Y W J s Z W Q i I F Z h b H V l P S J s M C I g L z 4 8 R W 5 0 c n k g V H l w Z T 0 i R m l s b E 9 i a m V j d F R 5 c G U i I F Z h b H V l P S J z Q 2 9 u b m V j d G l v b k 9 u b H k i I C 8 + P E V u d H J 5 I F R 5 c G U 9 I k Z p b G x D b 2 x 1 b W 5 U e X B l c y I g V m F s d W U 9 I n N C Z 1 k 9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I D A v Q X V 0 b 1 J l b W 9 2 Z W R D b 2 x 1 b W 5 z M S 5 7 Q 2 9 s d W 1 u M S w w f S Z x d W 9 0 O y w m c X V v d D t T Z W N 0 a W 9 u M S 9 U Y W J s Z S A w L 0 F 1 d G 9 S Z W 1 v d m V k Q 2 9 s d W 1 u c z E u e 0 N v b H V t b j I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V G F i b G U g M C 9 B d X R v U m V t b 3 Z l Z E N v b H V t b n M x L n t D b 2 x 1 b W 4 x L D B 9 J n F 1 b 3 Q 7 L C Z x d W 9 0 O 1 N l Y 3 R p b 2 4 x L 1 R h Y m x l I D A v Q X V 0 b 1 J l b W 9 2 Z W R D b 2 x 1 b W 5 z M S 5 7 Q 2 9 s d W 1 u M i w x f S Z x d W 9 0 O 1 0 s J n F 1 b 3 Q 7 U m V s Y X R p b 2 5 z a G l w S W 5 m b y Z x d W 9 0 O z p b X X 0 i I C 8 + P E V u d H J 5 I F R 5 c G U 9 I k Z p b G x D b 3 V u d C I g V m F s d W U 9 I m w x N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J T I w M C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A v R G F 0 Y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A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D e 9 N k 3 y E j R M u d B 5 u Y 6 7 U n w A A A A A A g A A A A A A A 2 Y A A M A A A A A Q A A A A q K l x t l T G K 0 c D I p y f U + f 2 c A A A A A A E g A A A o A A A A B A A A A B w M e 3 B P Y V U U 8 5 n e 4 D 4 f 1 O o U A A A A H c f z S + b A x W 2 t C k s j m N 7 R D v L s I s y W K o h Q J c k D v W Y Z p M H c 4 9 w I Q G i N I W J U R O 9 G a N c / b k v y 7 6 m I I G O L 5 z 6 + F o N 5 r e S u q R j y E V N R o F Q U O N o J f t A F A A A A M c r C g w + 4 3 b h t M q P z j y d 7 D l b p g k f < / D a t a M a s h u p > 
</file>

<file path=customXml/itemProps1.xml><?xml version="1.0" encoding="utf-8"?>
<ds:datastoreItem xmlns:ds="http://schemas.openxmlformats.org/officeDocument/2006/customXml" ds:itemID="{B8FF04D8-3F5A-499F-B830-68BDB25C76C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Curva de rendimientos</vt:lpstr>
      <vt:lpstr>TX24</vt:lpstr>
      <vt:lpstr>T2X4</vt:lpstr>
      <vt:lpstr>T3X4</vt:lpstr>
      <vt:lpstr>T4X4</vt:lpstr>
      <vt:lpstr>T2X5</vt:lpstr>
      <vt:lpstr>TX26</vt:lpstr>
      <vt:lpstr>TX28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Oyhamburu Manuel</cp:lastModifiedBy>
  <dcterms:created xsi:type="dcterms:W3CDTF">2020-08-27T13:06:36Z</dcterms:created>
  <dcterms:modified xsi:type="dcterms:W3CDTF">2023-08-23T21:59:57Z</dcterms:modified>
</cp:coreProperties>
</file>