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ear-my.sharepoint.com/personal/gangel_came_org_ar/Documents/Escritorio/Notebook/Descargas/"/>
    </mc:Choice>
  </mc:AlternateContent>
  <xr:revisionPtr revIDLastSave="414" documentId="8_{193BAA41-E628-4F93-B7ED-1CC6EA638003}" xr6:coauthVersionLast="47" xr6:coauthVersionMax="47" xr10:uidLastSave="{C50094C2-2A1C-4774-934E-CF4031C33309}"/>
  <bookViews>
    <workbookView xWindow="22932" yWindow="-108" windowWidth="23256" windowHeight="12456" activeTab="3" xr2:uid="{A94D80E9-1301-4AA2-A756-F06D5DBF860F}"/>
  </bookViews>
  <sheets>
    <sheet name="tir 1" sheetId="1" r:id="rId1"/>
    <sheet name="tir 2" sheetId="4" r:id="rId2"/>
    <sheet name="lecap" sheetId="3" r:id="rId3"/>
    <sheet name="Fuentes de Ganancia" sheetId="2" r:id="rId4"/>
    <sheet name="Rendimiento de una cartera" sheetId="5" r:id="rId5"/>
    <sheet name="Duración" sheetId="6" r:id="rId6"/>
  </sheets>
  <definedNames>
    <definedName name="_xlnm._FilterDatabase" localSheetId="4" hidden="1">'Rendimiento de una cartera'!$C$8:$F$37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6" l="1"/>
  <c r="K7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L1" i="6"/>
  <c r="L1" i="5"/>
  <c r="J5" i="5"/>
  <c r="J4" i="5"/>
  <c r="J3" i="5"/>
  <c r="C8" i="6"/>
  <c r="C7" i="6"/>
  <c r="I6" i="6"/>
  <c r="M1" i="6" s="1"/>
  <c r="C9" i="6"/>
  <c r="C10" i="6"/>
  <c r="C11" i="6"/>
  <c r="C12" i="6"/>
  <c r="C13" i="6"/>
  <c r="C14" i="6"/>
  <c r="C15" i="6"/>
  <c r="C16" i="6"/>
  <c r="C17" i="6"/>
  <c r="C18" i="6"/>
  <c r="C19" i="6"/>
  <c r="N3" i="6"/>
  <c r="O3" i="6" s="1"/>
  <c r="I20" i="6"/>
  <c r="K2" i="5"/>
  <c r="K1" i="5"/>
  <c r="M1" i="5" s="1"/>
  <c r="M2" i="5" s="1"/>
  <c r="F38" i="5"/>
  <c r="I8" i="3"/>
  <c r="N6" i="3"/>
  <c r="L21" i="3"/>
  <c r="L22" i="3" s="1"/>
  <c r="L20" i="3"/>
  <c r="L23" i="3" s="1"/>
  <c r="L5" i="3"/>
  <c r="L6" i="3" s="1"/>
  <c r="B4" i="2"/>
  <c r="L25" i="2"/>
  <c r="L26" i="2" s="1"/>
  <c r="L24" i="2"/>
  <c r="L27" i="2" s="1"/>
  <c r="L23" i="2"/>
  <c r="B6" i="2"/>
  <c r="G6" i="2" s="1"/>
  <c r="B7" i="2"/>
  <c r="F7" i="2" s="1"/>
  <c r="B8" i="2"/>
  <c r="F8" i="2" s="1"/>
  <c r="B9" i="2"/>
  <c r="B10" i="2"/>
  <c r="B11" i="2"/>
  <c r="H11" i="2" s="1"/>
  <c r="B12" i="2"/>
  <c r="H12" i="2" s="1"/>
  <c r="B13" i="2"/>
  <c r="G13" i="2" s="1"/>
  <c r="B14" i="2"/>
  <c r="G14" i="2" s="1"/>
  <c r="B15" i="2"/>
  <c r="G15" i="2" s="1"/>
  <c r="B16" i="2"/>
  <c r="G16" i="2" s="1"/>
  <c r="B17" i="2"/>
  <c r="G17" i="2" s="1"/>
  <c r="B18" i="2"/>
  <c r="G18" i="2" s="1"/>
  <c r="B19" i="2"/>
  <c r="G19" i="2" s="1"/>
  <c r="B20" i="2"/>
  <c r="H20" i="2" s="1"/>
  <c r="B5" i="2"/>
  <c r="H5" i="2" s="1"/>
  <c r="D22" i="2"/>
  <c r="D21" i="2"/>
  <c r="I9" i="3"/>
  <c r="C21" i="3"/>
  <c r="C22" i="3" s="1"/>
  <c r="D18" i="1"/>
  <c r="E7" i="4"/>
  <c r="D7" i="4"/>
  <c r="C7" i="4"/>
  <c r="C20" i="3"/>
  <c r="C23" i="3" s="1"/>
  <c r="C5" i="3"/>
  <c r="C6" i="3" s="1"/>
  <c r="J2" i="2"/>
  <c r="K13" i="6" l="1"/>
  <c r="K11" i="6"/>
  <c r="K12" i="6"/>
  <c r="K10" i="6"/>
  <c r="K9" i="6"/>
  <c r="K8" i="6"/>
  <c r="K19" i="6"/>
  <c r="K18" i="6"/>
  <c r="K17" i="6"/>
  <c r="K16" i="6"/>
  <c r="K15" i="6"/>
  <c r="K14" i="6"/>
  <c r="H19" i="2"/>
  <c r="H18" i="2"/>
  <c r="H17" i="2"/>
  <c r="H16" i="2"/>
  <c r="H15" i="2"/>
  <c r="H14" i="2"/>
  <c r="H13" i="2"/>
  <c r="F10" i="2"/>
  <c r="F9" i="2"/>
  <c r="G5" i="2"/>
  <c r="H10" i="2"/>
  <c r="G20" i="2"/>
  <c r="H9" i="2"/>
  <c r="H8" i="2"/>
  <c r="H7" i="2"/>
  <c r="H6" i="2"/>
  <c r="F12" i="2"/>
  <c r="F11" i="2"/>
  <c r="G9" i="2"/>
  <c r="F13" i="2"/>
  <c r="G8" i="2"/>
  <c r="G7" i="2"/>
  <c r="G12" i="2"/>
  <c r="G11" i="2"/>
  <c r="G10" i="2"/>
  <c r="F6" i="2"/>
  <c r="F5" i="2"/>
  <c r="F20" i="2"/>
  <c r="F19" i="2"/>
  <c r="F18" i="2"/>
  <c r="F17" i="2"/>
  <c r="F16" i="2"/>
  <c r="F15" i="2"/>
  <c r="F14" i="2"/>
  <c r="C19" i="1"/>
  <c r="C18" i="1"/>
  <c r="J20" i="6" l="1"/>
  <c r="H21" i="2"/>
  <c r="H22" i="2" s="1"/>
  <c r="G21" i="2"/>
  <c r="G22" i="2" s="1"/>
  <c r="F21" i="2"/>
  <c r="K21" i="6" l="1"/>
  <c r="K22" i="6"/>
  <c r="K23" i="6"/>
  <c r="F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tc={88628F06-9C69-458A-A266-480A9CE78800}</author>
    <author>tc={0E1BAF6A-ACD4-4B5C-8271-06BDBB5A6063}</author>
  </authors>
  <commentList>
    <comment ref="D4" authorId="0" shapeId="0" xr:uid="{88628F06-9C69-458A-A266-480A9CE788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al vencimiento, surge de multiplicar 100 (v.o.) * (1+i)^cantidad de meses</t>
      </text>
    </comment>
    <comment ref="M4" authorId="1" shapeId="0" xr:uid="{0E1BAF6A-ACD4-4B5C-8271-06BDBB5A60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al vencimiento, surge de multiplicar 100 (v.o.) * (1+i)^cantidad de meses</t>
      </text>
    </comment>
  </commentList>
</comments>
</file>

<file path=xl/sharedStrings.xml><?xml version="1.0" encoding="utf-8"?>
<sst xmlns="http://schemas.openxmlformats.org/spreadsheetml/2006/main" count="141" uniqueCount="63">
  <si>
    <t>YTM</t>
  </si>
  <si>
    <t>REINVERSION</t>
  </si>
  <si>
    <t>TASA</t>
  </si>
  <si>
    <t>HOY</t>
  </si>
  <si>
    <t>VENCIMIENTO</t>
  </si>
  <si>
    <t>GANANCIA EFECTIVA</t>
  </si>
  <si>
    <t>% GANANCIA EFECTIVO</t>
  </si>
  <si>
    <t>PLAZO</t>
  </si>
  <si>
    <t>CONVENCION MESES</t>
  </si>
  <si>
    <t>TEM</t>
  </si>
  <si>
    <t>TNA</t>
  </si>
  <si>
    <t>precio</t>
  </si>
  <si>
    <t>interés</t>
  </si>
  <si>
    <t>interes</t>
  </si>
  <si>
    <t>capital + interes</t>
  </si>
  <si>
    <t>TIR</t>
  </si>
  <si>
    <t>TASA CUPON</t>
  </si>
  <si>
    <t>inicio</t>
  </si>
  <si>
    <t>vencimiento</t>
  </si>
  <si>
    <t>V.Inicial</t>
  </si>
  <si>
    <t>1+i</t>
  </si>
  <si>
    <t>Cantidad de meses</t>
  </si>
  <si>
    <t>Valor Final</t>
  </si>
  <si>
    <t>tir</t>
  </si>
  <si>
    <t>convencion años</t>
  </si>
  <si>
    <t>Ganancia</t>
  </si>
  <si>
    <t>Tasa Efectiva</t>
  </si>
  <si>
    <t>Total</t>
  </si>
  <si>
    <t>Tiempo al Vencimiento</t>
  </si>
  <si>
    <t>Fecha</t>
  </si>
  <si>
    <t>Flujo de Fondo</t>
  </si>
  <si>
    <t>Cupon + Reinversión (a la tir inicial)</t>
  </si>
  <si>
    <t xml:space="preserve">TIR &lt; </t>
  </si>
  <si>
    <t>A una TASA menor A TIR Original (5%)</t>
  </si>
  <si>
    <t>A una TASA mayor A TIR Original (8%)</t>
  </si>
  <si>
    <t>TIR &gt;</t>
  </si>
  <si>
    <t>Tenencia Valorizada</t>
  </si>
  <si>
    <t>Rescate</t>
  </si>
  <si>
    <t>Egreso de Fondos</t>
  </si>
  <si>
    <t>Suscripción</t>
  </si>
  <si>
    <t>Ingreso de Fondos</t>
  </si>
  <si>
    <t>Tenencia al 31-12-2023</t>
  </si>
  <si>
    <t>Tenencias al 31-01-2024</t>
  </si>
  <si>
    <t>Movimiento</t>
  </si>
  <si>
    <t>Rendimiento</t>
  </si>
  <si>
    <t>Detalle</t>
  </si>
  <si>
    <t>Importe</t>
  </si>
  <si>
    <t>Tasa Mensual</t>
  </si>
  <si>
    <t>V.P. FF</t>
  </si>
  <si>
    <t>Símbolo</t>
  </si>
  <si>
    <t>Fecha Pago</t>
  </si>
  <si>
    <t>VR (%)</t>
  </si>
  <si>
    <t>VR Cartera (%)</t>
  </si>
  <si>
    <t>Renta (R)</t>
  </si>
  <si>
    <t>Amortización (A)</t>
  </si>
  <si>
    <t>A + R</t>
  </si>
  <si>
    <t>TIEMPO</t>
  </si>
  <si>
    <t>VP * TIEMPO</t>
  </si>
  <si>
    <t>1*2</t>
  </si>
  <si>
    <t>DM</t>
  </si>
  <si>
    <t>DUR</t>
  </si>
  <si>
    <t>TIREA</t>
  </si>
  <si>
    <t>GD30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</si>
</sst>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164" formatCode="0.000%"/>
    <numFmt numFmtId="165" formatCode="0.0000%"/>
    <numFmt numFmtId="166" formatCode="0.00000%"/>
    <numFmt numFmtId="167" formatCode="0.00000"/>
    <numFmt numFmtId="168" formatCode="#,##0.0000"/>
    <numFmt numFmtId="169" formatCode="0.000"/>
    <numFmt numFmtId="170" formatCode="0.0000"/>
    <numFmt numFmtId="176" formatCode="[$USD]\ #,##0.0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rgb="FF000000"/>
      <name val="Calibri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1"/>
      <color rgb="FF9C65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rgb="FFC8C8C8"/>
      </left>
      <right/>
      <top style="thin">
        <color rgb="FFC8C8C8"/>
      </top>
      <bottom style="thin">
        <color rgb="FFC8C8C8"/>
      </bottom>
      <diagonal/>
    </border>
    <border>
      <left/>
      <right/>
      <top style="thin">
        <color rgb="FFC8C8C8"/>
      </top>
      <bottom style="thin">
        <color rgb="FFC8C8C8"/>
      </bottom>
      <diagonal/>
    </border>
    <border>
      <left/>
      <right style="thin">
        <color rgb="FFC8C8C8"/>
      </right>
      <top style="thin">
        <color rgb="FFC8C8C8"/>
      </top>
      <bottom style="thin">
        <color rgb="FFC8C8C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21" applyNumberFormat="0" applyAlignment="0" applyProtection="0"/>
    <xf numFmtId="0" fontId="11" fillId="8" borderId="22" applyNumberFormat="0" applyAlignment="0" applyProtection="0"/>
    <xf numFmtId="0" fontId="12" fillId="8" borderId="21" applyNumberFormat="0" applyAlignment="0" applyProtection="0"/>
    <xf numFmtId="0" fontId="13" fillId="0" borderId="23" applyNumberFormat="0" applyFill="0" applyAlignment="0" applyProtection="0"/>
    <xf numFmtId="0" fontId="14" fillId="9" borderId="24" applyNumberFormat="0" applyAlignment="0" applyProtection="0"/>
    <xf numFmtId="0" fontId="15" fillId="0" borderId="0" applyNumberFormat="0" applyFill="0" applyBorder="0" applyAlignment="0" applyProtection="0"/>
    <xf numFmtId="0" fontId="1" fillId="10" borderId="25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0" borderId="0"/>
    <xf numFmtId="0" fontId="2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3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</cellStyleXfs>
  <cellXfs count="71">
    <xf numFmtId="0" fontId="0" fillId="0" borderId="0" xfId="0"/>
    <xf numFmtId="14" fontId="0" fillId="0" borderId="0" xfId="0" applyNumberFormat="1"/>
    <xf numFmtId="9" fontId="0" fillId="0" borderId="0" xfId="2" applyFont="1"/>
    <xf numFmtId="10" fontId="0" fillId="0" borderId="0" xfId="2" applyNumberFormat="1" applyFont="1"/>
    <xf numFmtId="44" fontId="0" fillId="0" borderId="0" xfId="1" applyFont="1"/>
    <xf numFmtId="44" fontId="0" fillId="0" borderId="0" xfId="0" applyNumberFormat="1"/>
    <xf numFmtId="164" fontId="0" fillId="0" borderId="0" xfId="2" applyNumberFormat="1" applyFont="1"/>
    <xf numFmtId="165" fontId="0" fillId="0" borderId="0" xfId="2" applyNumberFormat="1" applyFont="1"/>
    <xf numFmtId="9" fontId="0" fillId="0" borderId="0" xfId="0" applyNumberFormat="1"/>
    <xf numFmtId="166" fontId="0" fillId="0" borderId="0" xfId="0" applyNumberFormat="1"/>
    <xf numFmtId="2" fontId="0" fillId="0" borderId="0" xfId="0" applyNumberFormat="1"/>
    <xf numFmtId="14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/>
    <xf numFmtId="164" fontId="2" fillId="0" borderId="4" xfId="2" applyNumberFormat="1" applyFont="1" applyBorder="1"/>
    <xf numFmtId="0" fontId="2" fillId="0" borderId="0" xfId="0" applyFont="1"/>
    <xf numFmtId="167" fontId="2" fillId="0" borderId="0" xfId="0" applyNumberFormat="1" applyFont="1"/>
    <xf numFmtId="0" fontId="0" fillId="0" borderId="5" xfId="0" applyBorder="1"/>
    <xf numFmtId="0" fontId="0" fillId="0" borderId="7" xfId="0" applyBorder="1"/>
    <xf numFmtId="16" fontId="0" fillId="0" borderId="8" xfId="0" applyNumberFormat="1" applyBorder="1"/>
    <xf numFmtId="0" fontId="0" fillId="0" borderId="9" xfId="0" applyBorder="1"/>
    <xf numFmtId="16" fontId="0" fillId="0" borderId="5" xfId="0" applyNumberFormat="1" applyBorder="1"/>
    <xf numFmtId="168" fontId="0" fillId="0" borderId="5" xfId="0" applyNumberFormat="1" applyBorder="1"/>
    <xf numFmtId="0" fontId="0" fillId="0" borderId="10" xfId="0" applyBorder="1"/>
    <xf numFmtId="165" fontId="0" fillId="0" borderId="11" xfId="2" applyNumberFormat="1" applyFont="1" applyBorder="1"/>
    <xf numFmtId="0" fontId="0" fillId="0" borderId="12" xfId="0" applyBorder="1"/>
    <xf numFmtId="0" fontId="0" fillId="0" borderId="8" xfId="0" applyBorder="1"/>
    <xf numFmtId="0" fontId="0" fillId="0" borderId="13" xfId="0" applyBorder="1"/>
    <xf numFmtId="169" fontId="0" fillId="0" borderId="5" xfId="0" applyNumberFormat="1" applyBorder="1"/>
    <xf numFmtId="10" fontId="0" fillId="0" borderId="5" xfId="2" applyNumberFormat="1" applyFont="1" applyBorder="1"/>
    <xf numFmtId="0" fontId="0" fillId="0" borderId="14" xfId="0" applyBorder="1"/>
    <xf numFmtId="10" fontId="0" fillId="0" borderId="11" xfId="2" applyNumberFormat="1" applyFont="1" applyBorder="1"/>
    <xf numFmtId="14" fontId="0" fillId="0" borderId="8" xfId="0" applyNumberFormat="1" applyBorder="1"/>
    <xf numFmtId="14" fontId="0" fillId="0" borderId="5" xfId="0" applyNumberFormat="1" applyBorder="1"/>
    <xf numFmtId="0" fontId="2" fillId="0" borderId="15" xfId="0" applyFont="1" applyBorder="1"/>
    <xf numFmtId="170" fontId="2" fillId="0" borderId="16" xfId="0" applyNumberFormat="1" applyFont="1" applyBorder="1"/>
    <xf numFmtId="0" fontId="0" fillId="0" borderId="0" xfId="2" applyNumberFormat="1" applyFont="1"/>
    <xf numFmtId="169" fontId="0" fillId="0" borderId="0" xfId="2" applyNumberFormat="1" applyFont="1"/>
    <xf numFmtId="0" fontId="0" fillId="0" borderId="6" xfId="0" applyBorder="1"/>
    <xf numFmtId="14" fontId="0" fillId="0" borderId="6" xfId="0" applyNumberFormat="1" applyBorder="1"/>
    <xf numFmtId="0" fontId="2" fillId="3" borderId="6" xfId="0" applyFont="1" applyFill="1" applyBorder="1"/>
    <xf numFmtId="0" fontId="2" fillId="3" borderId="0" xfId="0" applyFont="1" applyFill="1" applyAlignment="1">
      <alignment horizontal="left" indent="5"/>
    </xf>
    <xf numFmtId="0" fontId="2" fillId="3" borderId="0" xfId="0" applyFont="1" applyFill="1"/>
    <xf numFmtId="165" fontId="2" fillId="0" borderId="0" xfId="2" applyNumberFormat="1" applyFont="1"/>
    <xf numFmtId="9" fontId="2" fillId="0" borderId="0" xfId="0" applyNumberFormat="1" applyFont="1"/>
    <xf numFmtId="0" fontId="20" fillId="0" borderId="0" xfId="37" applyFont="1"/>
    <xf numFmtId="0" fontId="22" fillId="0" borderId="4" xfId="37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27" xfId="37" applyBorder="1"/>
    <xf numFmtId="14" fontId="18" fillId="0" borderId="27" xfId="37" applyNumberFormat="1" applyBorder="1"/>
    <xf numFmtId="0" fontId="21" fillId="0" borderId="27" xfId="37" applyFont="1" applyBorder="1"/>
    <xf numFmtId="0" fontId="0" fillId="0" borderId="28" xfId="0" applyBorder="1"/>
    <xf numFmtId="14" fontId="18" fillId="0" borderId="28" xfId="37" applyNumberFormat="1" applyBorder="1"/>
    <xf numFmtId="0" fontId="21" fillId="0" borderId="28" xfId="37" applyFont="1" applyBorder="1"/>
    <xf numFmtId="0" fontId="20" fillId="0" borderId="28" xfId="37" applyFont="1" applyBorder="1"/>
    <xf numFmtId="14" fontId="20" fillId="0" borderId="28" xfId="37" applyNumberFormat="1" applyFont="1" applyBorder="1" applyAlignment="1">
      <alignment horizontal="left"/>
    </xf>
    <xf numFmtId="0" fontId="19" fillId="0" borderId="28" xfId="37" applyFont="1" applyBorder="1"/>
    <xf numFmtId="10" fontId="2" fillId="0" borderId="0" xfId="2" applyNumberFormat="1" applyFont="1"/>
    <xf numFmtId="169" fontId="0" fillId="0" borderId="0" xfId="0" applyNumberFormat="1"/>
    <xf numFmtId="0" fontId="2" fillId="3" borderId="17" xfId="0" applyFont="1" applyFill="1" applyBorder="1" applyAlignment="1">
      <alignment horizontal="center"/>
    </xf>
    <xf numFmtId="0" fontId="0" fillId="0" borderId="0" xfId="0" applyNumberFormat="1"/>
    <xf numFmtId="176" fontId="0" fillId="0" borderId="0" xfId="0" applyNumberFormat="1"/>
    <xf numFmtId="176" fontId="2" fillId="0" borderId="4" xfId="0" applyNumberFormat="1" applyFont="1" applyBorder="1" applyAlignment="1">
      <alignment horizontal="center"/>
    </xf>
    <xf numFmtId="176" fontId="0" fillId="0" borderId="27" xfId="1" applyNumberFormat="1" applyFont="1" applyBorder="1"/>
    <xf numFmtId="176" fontId="0" fillId="0" borderId="28" xfId="1" applyNumberFormat="1" applyFont="1" applyBorder="1"/>
    <xf numFmtId="176" fontId="0" fillId="0" borderId="0" xfId="1" applyNumberFormat="1" applyFont="1"/>
    <xf numFmtId="0" fontId="0" fillId="0" borderId="29" xfId="0" applyBorder="1"/>
  </cellXfs>
  <cellStyles count="49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43" xr:uid="{C7F38337-CE8E-40F2-9ADF-5996BB219542}"/>
    <cellStyle name="60% - Énfasis2 2" xfId="44" xr:uid="{EC8824CF-F585-4208-80EA-73481F732DC2}"/>
    <cellStyle name="60% - Énfasis3 2" xfId="45" xr:uid="{89C1391B-C6CB-4D05-BCCB-3B9B06673B34}"/>
    <cellStyle name="60% - Énfasis4 2" xfId="46" xr:uid="{E7DF66D0-C257-49BC-9CDF-574F2206B0FE}"/>
    <cellStyle name="60% - Énfasis5 2" xfId="47" xr:uid="{4F91447C-3187-449A-8853-9078EBAF17C7}"/>
    <cellStyle name="60% - Énfasis6 2" xfId="48" xr:uid="{2D85E983-DB65-4C60-8ED3-2A4653493C03}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Incorrecto" xfId="9" builtinId="27" customBuiltin="1"/>
    <cellStyle name="Moneda" xfId="1" builtinId="4"/>
    <cellStyle name="Moneda 2" xfId="40" xr:uid="{D0DC0DEB-3DD0-4AEC-A306-E164B7D33888}"/>
    <cellStyle name="Neutral 2" xfId="42" xr:uid="{3A3B2C72-59EC-42EF-9AA6-3E324A7DDE47}"/>
    <cellStyle name="Normal" xfId="0" builtinId="0"/>
    <cellStyle name="Normal 2" xfId="38" xr:uid="{A13F981F-DE25-45CF-97C3-4900B4890C4C}"/>
    <cellStyle name="Normal 3" xfId="37" xr:uid="{275E492E-F227-4B43-8FA0-EABC65DDA436}"/>
    <cellStyle name="Normal 5" xfId="41" xr:uid="{41BE98DD-2E4A-4024-8755-284F28A6468F}"/>
    <cellStyle name="Notas" xfId="16" builtinId="10" customBuiltin="1"/>
    <cellStyle name="Porcentaje" xfId="2" builtinId="5"/>
    <cellStyle name="Porcentaje 2" xfId="39" xr:uid="{EF808109-AE93-47A4-AB7B-95D662373C5F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39</xdr:row>
      <xdr:rowOff>167640</xdr:rowOff>
    </xdr:from>
    <xdr:to>
      <xdr:col>12</xdr:col>
      <xdr:colOff>557175</xdr:colOff>
      <xdr:row>68</xdr:row>
      <xdr:rowOff>76652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C169D4-7D1E-4986-9254-97C5D80AE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299960"/>
          <a:ext cx="10562235" cy="52125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24268</xdr:colOff>
      <xdr:row>23</xdr:row>
      <xdr:rowOff>24268</xdr:rowOff>
    </xdr:from>
    <xdr:to>
      <xdr:col>10</xdr:col>
      <xdr:colOff>284006</xdr:colOff>
      <xdr:row>53</xdr:row>
      <xdr:rowOff>177156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246A25-2BEF-AC20-034E-B017A21E4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89" y="4271083"/>
          <a:ext cx="7588528" cy="56858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isel Angel" id="{ECCEADB9-BBAC-453C-B81B-B4633A277A65}" userId="S::gangel@came.org.ar::606b44e5-1373-414c-a953-d69677a9c3f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4-05-27T21:58:12.99" personId="{ECCEADB9-BBAC-453C-B81B-B4633A277A65}" id="{88628F06-9C69-458A-A266-480A9CE78800}">
    <text>Valor al vencimiento, surge de multiplicar 100 (v.o.) * (1+i)^cantidad de meses</text>
  </threadedComment>
  <threadedComment ref="M4" dT="2024-05-27T21:58:12.99" personId="{ECCEADB9-BBAC-453C-B81B-B4633A277A65}" id="{0E1BAF6A-ACD4-4B5C-8271-06BDBB5A6063}">
    <text>Valor al vencimiento, surge de multiplicar 100 (v.o.) * (1+i)^cantidad de meses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F27C-99F5-45EC-BFC3-61D53DDFD499}">
  <dimension ref="A2:M33"/>
  <sheetViews>
    <sheetView showGridLines="0" workbookViewId="0">
      <selection activeCell="C18" sqref="C18"/>
    </sheetView>
  </sheetViews>
  <sheetFormatPr baseColWidth="10" defaultRowHeight="14.4" x14ac:dyDescent="0.3"/>
  <cols>
    <col min="5" max="5" width="16.33203125" bestFit="1" customWidth="1"/>
    <col min="10" max="11" width="15.33203125" style="4" bestFit="1" customWidth="1"/>
    <col min="12" max="13" width="15.33203125" bestFit="1" customWidth="1"/>
  </cols>
  <sheetData>
    <row r="2" spans="1:13" x14ac:dyDescent="0.3">
      <c r="A2">
        <v>15</v>
      </c>
      <c r="B2" s="1">
        <v>44316</v>
      </c>
      <c r="C2">
        <v>-94</v>
      </c>
    </row>
    <row r="3" spans="1:13" x14ac:dyDescent="0.3">
      <c r="A3">
        <v>14</v>
      </c>
      <c r="B3" s="1">
        <v>44408</v>
      </c>
      <c r="C3">
        <v>3</v>
      </c>
      <c r="E3" s="10"/>
    </row>
    <row r="4" spans="1:13" x14ac:dyDescent="0.3">
      <c r="A4">
        <v>13</v>
      </c>
      <c r="B4" s="1">
        <v>44592</v>
      </c>
      <c r="C4">
        <v>3</v>
      </c>
      <c r="E4" s="10"/>
    </row>
    <row r="5" spans="1:13" x14ac:dyDescent="0.3">
      <c r="A5">
        <v>12</v>
      </c>
      <c r="B5" s="1">
        <v>44773</v>
      </c>
      <c r="C5">
        <v>3</v>
      </c>
      <c r="E5" s="10"/>
    </row>
    <row r="6" spans="1:13" x14ac:dyDescent="0.3">
      <c r="A6">
        <v>11</v>
      </c>
      <c r="B6" s="1">
        <v>44957</v>
      </c>
      <c r="C6">
        <v>3</v>
      </c>
      <c r="E6" s="10"/>
    </row>
    <row r="7" spans="1:13" x14ac:dyDescent="0.3">
      <c r="A7">
        <v>10</v>
      </c>
      <c r="B7" s="1">
        <v>45138</v>
      </c>
      <c r="C7">
        <v>3</v>
      </c>
      <c r="E7" s="10"/>
    </row>
    <row r="8" spans="1:13" x14ac:dyDescent="0.3">
      <c r="A8">
        <v>9</v>
      </c>
      <c r="B8" s="1">
        <v>45322</v>
      </c>
      <c r="C8">
        <v>3</v>
      </c>
      <c r="E8" s="10"/>
    </row>
    <row r="9" spans="1:13" x14ac:dyDescent="0.3">
      <c r="A9">
        <v>8</v>
      </c>
      <c r="B9" s="1">
        <v>45504</v>
      </c>
      <c r="C9">
        <v>3</v>
      </c>
      <c r="E9" s="10"/>
    </row>
    <row r="10" spans="1:13" x14ac:dyDescent="0.3">
      <c r="A10">
        <v>7</v>
      </c>
      <c r="B10" s="1">
        <v>45688</v>
      </c>
      <c r="C10">
        <v>3</v>
      </c>
      <c r="E10" s="10"/>
    </row>
    <row r="11" spans="1:13" x14ac:dyDescent="0.3">
      <c r="A11">
        <v>6</v>
      </c>
      <c r="B11" s="1">
        <v>45869</v>
      </c>
      <c r="C11">
        <v>3</v>
      </c>
      <c r="E11" s="10"/>
    </row>
    <row r="12" spans="1:13" x14ac:dyDescent="0.3">
      <c r="A12">
        <v>5</v>
      </c>
      <c r="B12" s="1">
        <v>46053</v>
      </c>
      <c r="C12">
        <v>3</v>
      </c>
      <c r="E12" s="10"/>
    </row>
    <row r="13" spans="1:13" x14ac:dyDescent="0.3">
      <c r="A13">
        <v>4</v>
      </c>
      <c r="B13" s="1">
        <v>46234</v>
      </c>
      <c r="C13">
        <v>3</v>
      </c>
      <c r="E13" s="10"/>
    </row>
    <row r="14" spans="1:13" x14ac:dyDescent="0.3">
      <c r="A14">
        <v>3</v>
      </c>
      <c r="B14" s="1">
        <v>46418</v>
      </c>
      <c r="C14">
        <v>3</v>
      </c>
      <c r="E14" s="10"/>
    </row>
    <row r="15" spans="1:13" x14ac:dyDescent="0.3">
      <c r="A15">
        <v>2</v>
      </c>
      <c r="B15" s="1">
        <v>46599</v>
      </c>
      <c r="C15">
        <v>3</v>
      </c>
      <c r="E15" s="10"/>
    </row>
    <row r="16" spans="1:13" x14ac:dyDescent="0.3">
      <c r="A16">
        <v>1</v>
      </c>
      <c r="B16" s="1">
        <v>46783</v>
      </c>
      <c r="C16">
        <v>3</v>
      </c>
      <c r="E16" s="10"/>
      <c r="L16" s="5"/>
      <c r="M16" s="5"/>
    </row>
    <row r="17" spans="1:13" x14ac:dyDescent="0.3">
      <c r="A17">
        <v>0</v>
      </c>
      <c r="B17" s="1">
        <v>46965</v>
      </c>
      <c r="C17">
        <v>103</v>
      </c>
      <c r="E17" s="10"/>
      <c r="L17" s="5"/>
      <c r="M17" s="5"/>
    </row>
    <row r="18" spans="1:13" ht="15" thickBot="1" x14ac:dyDescent="0.35">
      <c r="B18" s="17" t="s">
        <v>0</v>
      </c>
      <c r="C18" s="18">
        <f>XIRR(C2:C17,B2:B17,0)</f>
        <v>7.4765424804687508E-2</v>
      </c>
      <c r="D18" s="3">
        <f>XIRR(C2:C17,B2:B17)</f>
        <v>7.4765428900718703E-2</v>
      </c>
      <c r="I18" s="4"/>
    </row>
    <row r="19" spans="1:13" ht="15" thickTop="1" x14ac:dyDescent="0.3">
      <c r="B19" s="19" t="s">
        <v>2</v>
      </c>
      <c r="C19" s="20">
        <f>(0.0747654248046875+1)</f>
        <v>1.0747654248046874</v>
      </c>
      <c r="I19" s="4"/>
      <c r="K19"/>
    </row>
    <row r="20" spans="1:13" x14ac:dyDescent="0.3">
      <c r="C20" s="9"/>
      <c r="D20" s="6"/>
      <c r="I20" s="4"/>
      <c r="K20"/>
    </row>
    <row r="21" spans="1:13" x14ac:dyDescent="0.3">
      <c r="B21" s="7"/>
      <c r="I21" s="4"/>
      <c r="K21"/>
    </row>
    <row r="22" spans="1:13" x14ac:dyDescent="0.3">
      <c r="I22" s="4"/>
      <c r="K22"/>
    </row>
    <row r="23" spans="1:13" x14ac:dyDescent="0.3">
      <c r="I23" s="4"/>
      <c r="K23"/>
    </row>
    <row r="24" spans="1:13" x14ac:dyDescent="0.3">
      <c r="I24" s="4"/>
      <c r="K24"/>
    </row>
    <row r="25" spans="1:13" x14ac:dyDescent="0.3">
      <c r="I25" s="4"/>
      <c r="K25"/>
    </row>
    <row r="26" spans="1:13" x14ac:dyDescent="0.3">
      <c r="I26" s="4"/>
      <c r="K26"/>
    </row>
    <row r="27" spans="1:13" x14ac:dyDescent="0.3">
      <c r="I27" s="4"/>
      <c r="K27"/>
    </row>
    <row r="28" spans="1:13" x14ac:dyDescent="0.3">
      <c r="I28" s="4"/>
      <c r="K28"/>
    </row>
    <row r="29" spans="1:13" x14ac:dyDescent="0.3">
      <c r="I29" s="4"/>
      <c r="K29"/>
    </row>
    <row r="30" spans="1:13" x14ac:dyDescent="0.3">
      <c r="I30" s="4"/>
      <c r="K30"/>
    </row>
    <row r="31" spans="1:13" x14ac:dyDescent="0.3">
      <c r="I31" s="4"/>
      <c r="K31"/>
    </row>
    <row r="32" spans="1:13" x14ac:dyDescent="0.3">
      <c r="I32" s="4"/>
      <c r="K32"/>
    </row>
    <row r="33" spans="9:11" x14ac:dyDescent="0.3">
      <c r="I33" s="4"/>
      <c r="K3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7B74-2D31-4025-8B69-87E0DA62D206}">
  <dimension ref="B2:F8"/>
  <sheetViews>
    <sheetView showGridLines="0" workbookViewId="0">
      <selection activeCell="E12" sqref="E12"/>
    </sheetView>
  </sheetViews>
  <sheetFormatPr baseColWidth="10" defaultRowHeight="14.4" x14ac:dyDescent="0.3"/>
  <cols>
    <col min="2" max="2" width="15.88671875" bestFit="1" customWidth="1"/>
  </cols>
  <sheetData>
    <row r="2" spans="2:6" ht="21" x14ac:dyDescent="0.3">
      <c r="B2" s="11">
        <v>45452</v>
      </c>
      <c r="C2" s="12">
        <v>-1050</v>
      </c>
      <c r="D2" s="12">
        <v>-900</v>
      </c>
      <c r="E2" s="12">
        <v>-1100</v>
      </c>
      <c r="F2" s="13" t="s">
        <v>11</v>
      </c>
    </row>
    <row r="3" spans="2:6" ht="21" x14ac:dyDescent="0.3">
      <c r="B3" s="14">
        <v>45473</v>
      </c>
      <c r="C3" s="15">
        <v>50</v>
      </c>
      <c r="D3" s="15">
        <v>50</v>
      </c>
      <c r="E3" s="15">
        <v>50</v>
      </c>
      <c r="F3" s="16" t="s">
        <v>12</v>
      </c>
    </row>
    <row r="4" spans="2:6" ht="21" x14ac:dyDescent="0.3">
      <c r="B4" s="11">
        <v>45657</v>
      </c>
      <c r="C4" s="12">
        <v>500</v>
      </c>
      <c r="D4" s="12">
        <v>50</v>
      </c>
      <c r="E4" s="12">
        <v>50</v>
      </c>
      <c r="F4" s="13" t="s">
        <v>13</v>
      </c>
    </row>
    <row r="5" spans="2:6" ht="21" x14ac:dyDescent="0.3">
      <c r="B5" s="14">
        <v>45838</v>
      </c>
      <c r="C5" s="15">
        <v>50</v>
      </c>
      <c r="D5" s="15">
        <v>50</v>
      </c>
      <c r="E5" s="15">
        <v>50</v>
      </c>
      <c r="F5" s="16" t="s">
        <v>12</v>
      </c>
    </row>
    <row r="6" spans="2:6" ht="42" x14ac:dyDescent="0.3">
      <c r="B6" s="11">
        <v>46022</v>
      </c>
      <c r="C6" s="12">
        <v>500</v>
      </c>
      <c r="D6" s="12">
        <v>1050</v>
      </c>
      <c r="E6" s="12">
        <v>1050</v>
      </c>
      <c r="F6" s="13" t="s">
        <v>14</v>
      </c>
    </row>
    <row r="7" spans="2:6" x14ac:dyDescent="0.3">
      <c r="B7" t="s">
        <v>15</v>
      </c>
      <c r="C7" s="2">
        <f>XIRR(C2:C6,B2:B6)</f>
        <v>4.7157207131385798E-2</v>
      </c>
      <c r="D7" s="2">
        <f>XIRR(D2:D6,B2:B6)</f>
        <v>0.22420976758003242</v>
      </c>
      <c r="E7" s="2">
        <f>XIRR(E2:E6,B2:B6)</f>
        <v>6.2635204195976249E-2</v>
      </c>
    </row>
    <row r="8" spans="2:6" x14ac:dyDescent="0.3">
      <c r="B8" t="s">
        <v>16</v>
      </c>
      <c r="C8" s="8">
        <v>0.1</v>
      </c>
      <c r="D8" s="8">
        <v>0.1</v>
      </c>
      <c r="E8" s="8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4CFA-D073-4E83-B1EB-DDE267928614}">
  <dimension ref="B3:N23"/>
  <sheetViews>
    <sheetView showGridLines="0" zoomScale="99" workbookViewId="0">
      <selection activeCell="L22" sqref="L22"/>
    </sheetView>
  </sheetViews>
  <sheetFormatPr baseColWidth="10" defaultRowHeight="14.4" x14ac:dyDescent="0.3"/>
  <cols>
    <col min="2" max="2" width="20.33203125" bestFit="1" customWidth="1"/>
    <col min="8" max="8" width="16.33203125" bestFit="1" customWidth="1"/>
  </cols>
  <sheetData>
    <row r="3" spans="2:14" x14ac:dyDescent="0.3">
      <c r="B3" s="22" t="s">
        <v>3</v>
      </c>
      <c r="C3" s="23">
        <v>45432</v>
      </c>
      <c r="D3">
        <v>113</v>
      </c>
      <c r="H3" s="29" t="s">
        <v>17</v>
      </c>
      <c r="I3" s="36">
        <v>45397</v>
      </c>
      <c r="K3" s="22" t="s">
        <v>3</v>
      </c>
      <c r="L3" s="23">
        <v>45440</v>
      </c>
      <c r="M3">
        <v>111.55</v>
      </c>
    </row>
    <row r="4" spans="2:14" x14ac:dyDescent="0.3">
      <c r="B4" s="24" t="s">
        <v>4</v>
      </c>
      <c r="C4" s="25">
        <v>45579</v>
      </c>
      <c r="D4">
        <v>131.9023</v>
      </c>
      <c r="H4" s="31" t="s">
        <v>18</v>
      </c>
      <c r="I4" s="37">
        <v>45579</v>
      </c>
      <c r="K4" s="24" t="s">
        <v>4</v>
      </c>
      <c r="L4" s="25">
        <v>45579</v>
      </c>
      <c r="M4">
        <v>131.9023</v>
      </c>
    </row>
    <row r="5" spans="2:14" x14ac:dyDescent="0.3">
      <c r="B5" s="24" t="s">
        <v>5</v>
      </c>
      <c r="C5" s="26">
        <f>D4-D3</f>
        <v>18.902299999999997</v>
      </c>
      <c r="H5" s="31" t="s">
        <v>19</v>
      </c>
      <c r="I5" s="21">
        <v>100</v>
      </c>
      <c r="K5" s="24" t="s">
        <v>5</v>
      </c>
      <c r="L5" s="26">
        <f>M4-M3</f>
        <v>20.3523</v>
      </c>
    </row>
    <row r="6" spans="2:14" x14ac:dyDescent="0.3">
      <c r="B6" s="27" t="s">
        <v>6</v>
      </c>
      <c r="C6" s="28">
        <f>C5/D3</f>
        <v>0.16727699115044245</v>
      </c>
      <c r="H6" s="31" t="s">
        <v>9</v>
      </c>
      <c r="I6" s="21">
        <v>4.7500000000000001E-2</v>
      </c>
      <c r="K6" s="27" t="s">
        <v>6</v>
      </c>
      <c r="L6" s="28">
        <f>L5/M3</f>
        <v>0.18245002241147468</v>
      </c>
      <c r="N6" s="3">
        <f>(M3-D3)/D3</f>
        <v>-1.2831858407079672E-2</v>
      </c>
    </row>
    <row r="7" spans="2:14" x14ac:dyDescent="0.3">
      <c r="H7" s="31" t="s">
        <v>20</v>
      </c>
      <c r="I7" s="21">
        <v>1.0475000000000001</v>
      </c>
    </row>
    <row r="8" spans="2:14" x14ac:dyDescent="0.3">
      <c r="H8" s="31" t="s">
        <v>21</v>
      </c>
      <c r="I8" s="37">
        <f>DAYS360(I3,I4,0)/30</f>
        <v>5.9666666666666668</v>
      </c>
    </row>
    <row r="9" spans="2:14" x14ac:dyDescent="0.3">
      <c r="H9" s="38" t="s">
        <v>22</v>
      </c>
      <c r="I9" s="39">
        <f>I5*(I7)^I8</f>
        <v>131.90230616714064</v>
      </c>
    </row>
    <row r="20" spans="2:14" x14ac:dyDescent="0.3">
      <c r="B20" s="29" t="s">
        <v>7</v>
      </c>
      <c r="C20" s="30">
        <f>C4-C3</f>
        <v>147</v>
      </c>
      <c r="K20" s="29" t="s">
        <v>7</v>
      </c>
      <c r="L20" s="30">
        <f>L4-L3</f>
        <v>139</v>
      </c>
    </row>
    <row r="21" spans="2:14" x14ac:dyDescent="0.3">
      <c r="B21" s="31" t="s">
        <v>8</v>
      </c>
      <c r="C21" s="32">
        <f>DAYS360(C3,C4,0)/30</f>
        <v>4.8</v>
      </c>
      <c r="K21" s="31" t="s">
        <v>8</v>
      </c>
      <c r="L21" s="32">
        <f>DAYS360(L3,L4,0)/30</f>
        <v>4.5333333333333332</v>
      </c>
    </row>
    <row r="22" spans="2:14" x14ac:dyDescent="0.3">
      <c r="B22" s="31" t="s">
        <v>9</v>
      </c>
      <c r="C22" s="33">
        <f>(D4/D3)^(1/C21)-1</f>
        <v>3.2748487731679266E-2</v>
      </c>
      <c r="D22" s="3"/>
      <c r="E22" s="3"/>
      <c r="K22" s="31" t="s">
        <v>9</v>
      </c>
      <c r="L22" s="33">
        <f>(M4/M3)^(1/L21)-1</f>
        <v>3.7659886031069956E-2</v>
      </c>
    </row>
    <row r="23" spans="2:14" x14ac:dyDescent="0.3">
      <c r="B23" s="34" t="s">
        <v>10</v>
      </c>
      <c r="C23" s="35">
        <f>((D4/D3)-1)/C20*360</f>
        <v>0.40965793751128743</v>
      </c>
      <c r="D23" s="2"/>
      <c r="E23" s="2"/>
      <c r="K23" s="34" t="s">
        <v>10</v>
      </c>
      <c r="L23" s="35">
        <f>((M4/M3)-1)/L20*360</f>
        <v>0.47253243214482649</v>
      </c>
      <c r="N23" s="40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3B43-9C23-4B45-B887-47F6FCA780A6}">
  <dimension ref="B2:M27"/>
  <sheetViews>
    <sheetView showGridLines="0" tabSelected="1" topLeftCell="A2" zoomScale="121" workbookViewId="0">
      <selection activeCell="B9" sqref="B9"/>
    </sheetView>
  </sheetViews>
  <sheetFormatPr baseColWidth="10" defaultRowHeight="14.4" x14ac:dyDescent="0.3"/>
  <cols>
    <col min="1" max="1" width="3.77734375" customWidth="1"/>
    <col min="2" max="2" width="19.6640625" bestFit="1" customWidth="1"/>
    <col min="4" max="4" width="13.33203125" bestFit="1" customWidth="1"/>
    <col min="6" max="6" width="30" bestFit="1" customWidth="1"/>
    <col min="7" max="7" width="31.44140625" bestFit="1" customWidth="1"/>
    <col min="8" max="8" width="31.33203125" bestFit="1" customWidth="1"/>
    <col min="11" max="11" width="16.88671875" bestFit="1" customWidth="1"/>
  </cols>
  <sheetData>
    <row r="2" spans="2:10" x14ac:dyDescent="0.3">
      <c r="F2" s="63" t="s">
        <v>1</v>
      </c>
      <c r="G2" s="63"/>
      <c r="H2" s="63"/>
      <c r="J2">
        <f>59.796/94</f>
        <v>0.63612765957446804</v>
      </c>
    </row>
    <row r="3" spans="2:10" x14ac:dyDescent="0.3">
      <c r="B3" t="s">
        <v>28</v>
      </c>
      <c r="C3" s="44" t="s">
        <v>29</v>
      </c>
      <c r="D3" s="44" t="s">
        <v>30</v>
      </c>
      <c r="F3" s="44" t="s">
        <v>31</v>
      </c>
      <c r="G3" s="44" t="s">
        <v>33</v>
      </c>
      <c r="H3" s="44" t="s">
        <v>34</v>
      </c>
    </row>
    <row r="4" spans="2:10" x14ac:dyDescent="0.3">
      <c r="B4">
        <f>DAYS360(C4,$C$20,0)/360</f>
        <v>7.75</v>
      </c>
      <c r="C4" s="43">
        <v>44316</v>
      </c>
      <c r="D4" s="42">
        <v>-94</v>
      </c>
      <c r="E4">
        <v>100</v>
      </c>
      <c r="F4" s="42"/>
      <c r="G4" s="42"/>
      <c r="H4" s="42"/>
    </row>
    <row r="5" spans="2:10" x14ac:dyDescent="0.3">
      <c r="B5">
        <f>DAYS360(C5,$C$20,0)/360</f>
        <v>7.5</v>
      </c>
      <c r="C5" s="43">
        <v>44408</v>
      </c>
      <c r="D5" s="42">
        <v>3</v>
      </c>
      <c r="F5" s="42">
        <f>(D5*$D$22^B5)</f>
        <v>5.1252020042380728</v>
      </c>
      <c r="G5" s="42">
        <f>(D5*$D$24^B5)</f>
        <v>4.3255466261158624</v>
      </c>
      <c r="H5" s="42">
        <f t="shared" ref="H5:H20" si="0">(D5*$D$26^B5)</f>
        <v>5.3431752757872779</v>
      </c>
    </row>
    <row r="6" spans="2:10" x14ac:dyDescent="0.3">
      <c r="B6">
        <f t="shared" ref="B6:B20" si="1">DAYS360(C6,$C$20,0)/360</f>
        <v>7</v>
      </c>
      <c r="C6" s="43">
        <v>44592</v>
      </c>
      <c r="D6" s="42">
        <v>3</v>
      </c>
      <c r="F6" s="42">
        <f t="shared" ref="F6:F20" si="2">(D6*$D$22^B6)</f>
        <v>4.9454407735823436</v>
      </c>
      <c r="G6" s="42">
        <f t="shared" ref="G6:G20" si="3">(D6*$D$24^B6)</f>
        <v>4.2213012679687507</v>
      </c>
      <c r="H6" s="42">
        <f t="shared" si="0"/>
        <v>5.1414728063385624</v>
      </c>
    </row>
    <row r="7" spans="2:10" x14ac:dyDescent="0.3">
      <c r="B7">
        <f t="shared" si="1"/>
        <v>6.5</v>
      </c>
      <c r="C7" s="43">
        <v>44773</v>
      </c>
      <c r="D7" s="42">
        <v>3</v>
      </c>
      <c r="F7" s="42">
        <f t="shared" si="2"/>
        <v>4.7719844846674704</v>
      </c>
      <c r="G7" s="42">
        <f t="shared" si="3"/>
        <v>4.1195682153484396</v>
      </c>
      <c r="H7" s="42">
        <f t="shared" si="0"/>
        <v>4.9473845146178492</v>
      </c>
    </row>
    <row r="8" spans="2:10" x14ac:dyDescent="0.3">
      <c r="B8">
        <f t="shared" si="1"/>
        <v>6</v>
      </c>
      <c r="C8" s="43">
        <v>44957</v>
      </c>
      <c r="D8" s="42">
        <v>3</v>
      </c>
      <c r="F8" s="42">
        <f t="shared" si="2"/>
        <v>4.6046119980953248</v>
      </c>
      <c r="G8" s="42">
        <f t="shared" si="3"/>
        <v>4.0202869218749999</v>
      </c>
      <c r="H8" s="42">
        <f t="shared" si="0"/>
        <v>4.7606229688320019</v>
      </c>
    </row>
    <row r="9" spans="2:10" x14ac:dyDescent="0.3">
      <c r="B9">
        <f t="shared" si="1"/>
        <v>5.5</v>
      </c>
      <c r="C9" s="43">
        <v>45138</v>
      </c>
      <c r="D9" s="42">
        <v>3</v>
      </c>
      <c r="F9" s="42">
        <f t="shared" si="2"/>
        <v>4.4431099307065054</v>
      </c>
      <c r="G9" s="42">
        <f t="shared" si="3"/>
        <v>3.9233983003318471</v>
      </c>
      <c r="H9" s="42">
        <f t="shared" si="0"/>
        <v>4.5809115876091191</v>
      </c>
    </row>
    <row r="10" spans="2:10" x14ac:dyDescent="0.3">
      <c r="B10">
        <f t="shared" si="1"/>
        <v>5</v>
      </c>
      <c r="C10" s="43">
        <v>45322</v>
      </c>
      <c r="D10" s="42">
        <v>3</v>
      </c>
      <c r="F10" s="42">
        <f t="shared" si="2"/>
        <v>4.2872723835382089</v>
      </c>
      <c r="G10" s="42">
        <f t="shared" si="3"/>
        <v>3.8288446875000002</v>
      </c>
      <c r="H10" s="42">
        <f t="shared" si="0"/>
        <v>4.4079842304000012</v>
      </c>
    </row>
    <row r="11" spans="2:10" x14ac:dyDescent="0.3">
      <c r="B11">
        <f t="shared" si="1"/>
        <v>4.5</v>
      </c>
      <c r="C11" s="43">
        <v>45504</v>
      </c>
      <c r="D11" s="42">
        <v>3</v>
      </c>
      <c r="F11" s="42">
        <f t="shared" si="2"/>
        <v>4.1369006793236478</v>
      </c>
      <c r="G11" s="42">
        <f t="shared" si="3"/>
        <v>3.7365698098398541</v>
      </c>
      <c r="H11" s="42">
        <f t="shared" si="0"/>
        <v>4.2415848033417767</v>
      </c>
    </row>
    <row r="12" spans="2:10" x14ac:dyDescent="0.3">
      <c r="B12">
        <f t="shared" si="1"/>
        <v>4</v>
      </c>
      <c r="C12" s="43">
        <v>45688</v>
      </c>
      <c r="D12" s="42">
        <v>3</v>
      </c>
      <c r="F12" s="42">
        <f t="shared" si="2"/>
        <v>3.9918031091984494</v>
      </c>
      <c r="G12" s="42">
        <f t="shared" si="3"/>
        <v>3.6465187500000003</v>
      </c>
      <c r="H12" s="42">
        <f t="shared" si="0"/>
        <v>4.0814668800000007</v>
      </c>
    </row>
    <row r="13" spans="2:10" x14ac:dyDescent="0.3">
      <c r="B13">
        <f t="shared" si="1"/>
        <v>3.5</v>
      </c>
      <c r="C13" s="43">
        <v>45869</v>
      </c>
      <c r="D13" s="42">
        <v>3</v>
      </c>
      <c r="F13" s="42">
        <f t="shared" si="2"/>
        <v>3.8517946882910339</v>
      </c>
      <c r="G13" s="42">
        <f t="shared" si="3"/>
        <v>3.558637914133195</v>
      </c>
      <c r="H13" s="42">
        <f t="shared" si="0"/>
        <v>3.9273933364275715</v>
      </c>
    </row>
    <row r="14" spans="2:10" x14ac:dyDescent="0.3">
      <c r="B14">
        <f t="shared" si="1"/>
        <v>3</v>
      </c>
      <c r="C14" s="43">
        <v>46053</v>
      </c>
      <c r="D14" s="42">
        <v>3</v>
      </c>
      <c r="F14" s="42">
        <f t="shared" si="2"/>
        <v>3.7166969198854476</v>
      </c>
      <c r="G14" s="42">
        <f t="shared" si="3"/>
        <v>3.4728750000000002</v>
      </c>
      <c r="H14" s="42">
        <f t="shared" si="0"/>
        <v>3.7791360000000003</v>
      </c>
    </row>
    <row r="15" spans="2:10" x14ac:dyDescent="0.3">
      <c r="B15">
        <f t="shared" si="1"/>
        <v>2.5</v>
      </c>
      <c r="C15" s="43">
        <v>46234</v>
      </c>
      <c r="D15" s="42">
        <v>3</v>
      </c>
      <c r="F15" s="42">
        <f t="shared" si="2"/>
        <v>3.5863375678559075</v>
      </c>
      <c r="G15" s="42">
        <f t="shared" si="3"/>
        <v>3.389178965841138</v>
      </c>
      <c r="H15" s="42">
        <f t="shared" si="0"/>
        <v>3.6364753115070099</v>
      </c>
    </row>
    <row r="16" spans="2:10" x14ac:dyDescent="0.3">
      <c r="B16">
        <f t="shared" si="1"/>
        <v>2</v>
      </c>
      <c r="C16" s="43">
        <v>46418</v>
      </c>
      <c r="D16" s="42">
        <v>3</v>
      </c>
      <c r="F16" s="42">
        <f t="shared" si="2"/>
        <v>3.4605504370830005</v>
      </c>
      <c r="G16" s="42">
        <f t="shared" si="3"/>
        <v>3.3075000000000001</v>
      </c>
      <c r="H16" s="42">
        <f t="shared" si="0"/>
        <v>3.4992000000000001</v>
      </c>
    </row>
    <row r="17" spans="2:13" x14ac:dyDescent="0.3">
      <c r="B17">
        <f t="shared" si="1"/>
        <v>1.5</v>
      </c>
      <c r="C17" s="43">
        <v>46599</v>
      </c>
      <c r="D17" s="42">
        <v>3</v>
      </c>
      <c r="F17" s="42">
        <f t="shared" si="2"/>
        <v>3.3391751615715433</v>
      </c>
      <c r="G17" s="42">
        <f t="shared" si="3"/>
        <v>3.2277894912772735</v>
      </c>
      <c r="H17" s="42">
        <f t="shared" si="0"/>
        <v>3.3671067699138977</v>
      </c>
    </row>
    <row r="18" spans="2:13" x14ac:dyDescent="0.3">
      <c r="B18">
        <f t="shared" si="1"/>
        <v>1</v>
      </c>
      <c r="C18" s="43">
        <v>46783</v>
      </c>
      <c r="D18" s="42">
        <v>3</v>
      </c>
      <c r="F18" s="42">
        <f t="shared" si="2"/>
        <v>3.2220570000000004</v>
      </c>
      <c r="G18" s="42">
        <f t="shared" si="3"/>
        <v>3.1500000000000004</v>
      </c>
      <c r="H18" s="42">
        <f t="shared" si="0"/>
        <v>3.24</v>
      </c>
    </row>
    <row r="19" spans="2:13" x14ac:dyDescent="0.3">
      <c r="B19">
        <f t="shared" si="1"/>
        <v>0.5</v>
      </c>
      <c r="C19" s="43">
        <v>46965</v>
      </c>
      <c r="D19" s="42">
        <v>3</v>
      </c>
      <c r="F19" s="42">
        <f t="shared" si="2"/>
        <v>3.1090466384407938</v>
      </c>
      <c r="G19" s="42">
        <f t="shared" si="3"/>
        <v>3.0740852297878796</v>
      </c>
      <c r="H19" s="42">
        <f t="shared" si="0"/>
        <v>3.1176914536239795</v>
      </c>
    </row>
    <row r="20" spans="2:13" x14ac:dyDescent="0.3">
      <c r="B20">
        <f t="shared" si="1"/>
        <v>0</v>
      </c>
      <c r="C20" s="43">
        <v>47149</v>
      </c>
      <c r="D20" s="42">
        <v>103</v>
      </c>
      <c r="F20" s="42">
        <f t="shared" si="2"/>
        <v>103</v>
      </c>
      <c r="G20" s="42">
        <f t="shared" si="3"/>
        <v>103</v>
      </c>
      <c r="H20" s="42">
        <f t="shared" si="0"/>
        <v>103</v>
      </c>
    </row>
    <row r="21" spans="2:13" x14ac:dyDescent="0.3">
      <c r="C21" s="46" t="s">
        <v>15</v>
      </c>
      <c r="D21" s="47">
        <f>XIRR(D4:D20,C4:C20)</f>
        <v>7.4019023776054391E-2</v>
      </c>
      <c r="E21" s="45" t="s">
        <v>27</v>
      </c>
      <c r="F21">
        <f>SUM(F5:F20)</f>
        <v>163.59198377647778</v>
      </c>
      <c r="G21">
        <f>SUM(G5:G20)</f>
        <v>158.00210118001922</v>
      </c>
      <c r="H21">
        <f>SUM(H5:H20)</f>
        <v>165.07160593839905</v>
      </c>
      <c r="K21" s="1">
        <v>44316</v>
      </c>
      <c r="L21">
        <v>-94</v>
      </c>
      <c r="M21">
        <v>94</v>
      </c>
    </row>
    <row r="22" spans="2:13" x14ac:dyDescent="0.3">
      <c r="D22">
        <f>(1.074019)</f>
        <v>1.0740190000000001</v>
      </c>
      <c r="E22" s="45" t="s">
        <v>10</v>
      </c>
      <c r="F22" s="3">
        <f>(F21/-D4)^(1/B4)-1</f>
        <v>7.4112002851476344E-2</v>
      </c>
      <c r="G22" s="3">
        <f>(G21/-D4)^(1/B4)-1</f>
        <v>6.9304246333612429E-2</v>
      </c>
      <c r="H22" s="3">
        <f>(H21/-D4)^(1/B4)-1</f>
        <v>7.5360628741455216E-2</v>
      </c>
      <c r="K22" s="1">
        <v>47149</v>
      </c>
      <c r="L22">
        <v>163.59979999999999</v>
      </c>
    </row>
    <row r="23" spans="2:13" x14ac:dyDescent="0.3">
      <c r="C23" s="46" t="s">
        <v>32</v>
      </c>
      <c r="D23" s="48">
        <v>0.05</v>
      </c>
      <c r="K23" t="s">
        <v>23</v>
      </c>
      <c r="L23" s="3">
        <f>XIRR(L21:L22,K21:K22)</f>
        <v>7.4003419280052177E-2</v>
      </c>
    </row>
    <row r="24" spans="2:13" x14ac:dyDescent="0.3">
      <c r="D24">
        <v>1.05</v>
      </c>
      <c r="K24" t="s">
        <v>24</v>
      </c>
      <c r="L24">
        <f>DAYS360(K21,K22,0)/360</f>
        <v>7.75</v>
      </c>
    </row>
    <row r="25" spans="2:13" x14ac:dyDescent="0.3">
      <c r="C25" s="46" t="s">
        <v>35</v>
      </c>
      <c r="D25" s="48">
        <v>0.08</v>
      </c>
      <c r="K25" t="s">
        <v>25</v>
      </c>
      <c r="L25">
        <f>L22+L21</f>
        <v>69.599799999999988</v>
      </c>
    </row>
    <row r="26" spans="2:13" x14ac:dyDescent="0.3">
      <c r="D26">
        <v>1.08</v>
      </c>
      <c r="K26" t="s">
        <v>26</v>
      </c>
      <c r="L26" s="40">
        <f>L25/(-L21)</f>
        <v>0.74042340425531905</v>
      </c>
    </row>
    <row r="27" spans="2:13" x14ac:dyDescent="0.3">
      <c r="K27" t="s">
        <v>10</v>
      </c>
      <c r="L27" s="41">
        <f>(L22/M21)^(1/L24)-1</f>
        <v>7.4118624616761553E-2</v>
      </c>
    </row>
  </sheetData>
  <mergeCells count="1"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9ADE-02B1-4F1C-918D-C81CAFAD1A11}">
  <dimension ref="C1:M38"/>
  <sheetViews>
    <sheetView showGridLines="0" workbookViewId="0">
      <selection activeCell="I11" sqref="I11"/>
    </sheetView>
  </sheetViews>
  <sheetFormatPr baseColWidth="10" defaultRowHeight="14.4" x14ac:dyDescent="0.3"/>
  <cols>
    <col min="4" max="4" width="10.109375" bestFit="1" customWidth="1"/>
    <col min="5" max="5" width="17.6640625" bestFit="1" customWidth="1"/>
    <col min="6" max="6" width="12.5546875" style="65" bestFit="1" customWidth="1"/>
    <col min="9" max="9" width="20.77734375" bestFit="1" customWidth="1"/>
    <col min="10" max="10" width="11.88671875" style="4" bestFit="1" customWidth="1"/>
    <col min="11" max="11" width="11.6640625" bestFit="1" customWidth="1"/>
    <col min="12" max="12" width="11.88671875" bestFit="1" customWidth="1"/>
  </cols>
  <sheetData>
    <row r="1" spans="3:13" x14ac:dyDescent="0.3">
      <c r="I1" t="s">
        <v>41</v>
      </c>
      <c r="J1" s="69">
        <v>4944.24</v>
      </c>
      <c r="K1" s="65">
        <f>SUMIF(E:E,"Egreso de Fondos",F:F)</f>
        <v>502.00000035999994</v>
      </c>
      <c r="L1" s="65">
        <f>J1-K1+406</f>
        <v>4848.23999964</v>
      </c>
      <c r="M1" s="5">
        <f>J2-L1</f>
        <v>1045.8840029800003</v>
      </c>
    </row>
    <row r="2" spans="3:13" x14ac:dyDescent="0.3">
      <c r="I2" t="s">
        <v>42</v>
      </c>
      <c r="J2" s="69">
        <v>5894.1240026200003</v>
      </c>
      <c r="K2" s="65">
        <f>SUMIF(E:E,"Ingreso de Fondos",F:F)</f>
        <v>-406</v>
      </c>
      <c r="L2" s="65"/>
      <c r="M2">
        <f>M1/L1</f>
        <v>0.21572446971636328</v>
      </c>
    </row>
    <row r="3" spans="3:13" x14ac:dyDescent="0.3">
      <c r="I3" t="s">
        <v>44</v>
      </c>
      <c r="J3" s="2">
        <f>(J2/J1)-1</f>
        <v>0.19211931512628855</v>
      </c>
    </row>
    <row r="4" spans="3:13" x14ac:dyDescent="0.3">
      <c r="I4" t="s">
        <v>15</v>
      </c>
      <c r="J4" s="2">
        <f>XIRR(F10:F37,D10:D37)</f>
        <v>9.9133696556091326</v>
      </c>
    </row>
    <row r="5" spans="3:13" x14ac:dyDescent="0.3">
      <c r="I5" s="19" t="s">
        <v>47</v>
      </c>
      <c r="J5" s="61">
        <f>POWER((1+J4), (1/12))-1</f>
        <v>0.22038418831450124</v>
      </c>
    </row>
    <row r="6" spans="3:13" x14ac:dyDescent="0.3">
      <c r="J6" s="2"/>
    </row>
    <row r="8" spans="3:13" ht="15" thickBot="1" x14ac:dyDescent="0.35">
      <c r="C8" s="50" t="s">
        <v>43</v>
      </c>
      <c r="D8" s="51" t="s">
        <v>29</v>
      </c>
      <c r="E8" s="51" t="s">
        <v>45</v>
      </c>
      <c r="F8" s="66" t="s">
        <v>46</v>
      </c>
    </row>
    <row r="9" spans="3:13" ht="15" thickTop="1" x14ac:dyDescent="0.3">
      <c r="C9" s="52"/>
      <c r="D9" s="53">
        <v>45291</v>
      </c>
      <c r="E9" s="54" t="s">
        <v>36</v>
      </c>
      <c r="F9" s="67">
        <v>4944.2608223073858</v>
      </c>
    </row>
    <row r="10" spans="3:13" x14ac:dyDescent="0.3">
      <c r="C10" s="55"/>
      <c r="D10" s="56">
        <v>45292</v>
      </c>
      <c r="E10" s="57" t="s">
        <v>36</v>
      </c>
      <c r="F10" s="68">
        <v>-4944.2608223073903</v>
      </c>
    </row>
    <row r="11" spans="3:13" x14ac:dyDescent="0.3">
      <c r="C11" s="58" t="s">
        <v>37</v>
      </c>
      <c r="D11" s="59">
        <v>45293</v>
      </c>
      <c r="E11" s="60" t="s">
        <v>38</v>
      </c>
      <c r="F11" s="68">
        <v>15</v>
      </c>
    </row>
    <row r="12" spans="3:13" x14ac:dyDescent="0.3">
      <c r="C12" s="58" t="s">
        <v>37</v>
      </c>
      <c r="D12" s="59">
        <v>45293</v>
      </c>
      <c r="E12" s="60" t="s">
        <v>38</v>
      </c>
      <c r="F12" s="68">
        <v>15.00000015</v>
      </c>
    </row>
    <row r="13" spans="3:13" x14ac:dyDescent="0.3">
      <c r="C13" s="58" t="s">
        <v>37</v>
      </c>
      <c r="D13" s="59">
        <v>45296</v>
      </c>
      <c r="E13" s="60" t="s">
        <v>38</v>
      </c>
      <c r="F13" s="68">
        <v>100</v>
      </c>
    </row>
    <row r="14" spans="3:13" x14ac:dyDescent="0.3">
      <c r="C14" s="58" t="s">
        <v>37</v>
      </c>
      <c r="D14" s="59">
        <v>45296</v>
      </c>
      <c r="E14" s="60" t="s">
        <v>38</v>
      </c>
      <c r="F14" s="68">
        <v>30</v>
      </c>
    </row>
    <row r="15" spans="3:13" x14ac:dyDescent="0.3">
      <c r="C15" s="58" t="s">
        <v>37</v>
      </c>
      <c r="D15" s="59">
        <v>45296</v>
      </c>
      <c r="E15" s="60" t="s">
        <v>38</v>
      </c>
      <c r="F15" s="68">
        <v>99.999999939999995</v>
      </c>
    </row>
    <row r="16" spans="3:13" x14ac:dyDescent="0.3">
      <c r="C16" s="58" t="s">
        <v>37</v>
      </c>
      <c r="D16" s="59">
        <v>45299</v>
      </c>
      <c r="E16" s="60" t="s">
        <v>38</v>
      </c>
      <c r="F16" s="68">
        <v>5</v>
      </c>
    </row>
    <row r="17" spans="3:6" x14ac:dyDescent="0.3">
      <c r="C17" s="58" t="s">
        <v>37</v>
      </c>
      <c r="D17" s="59">
        <v>45301</v>
      </c>
      <c r="E17" s="60" t="s">
        <v>38</v>
      </c>
      <c r="F17" s="68">
        <v>4.9999999900000001</v>
      </c>
    </row>
    <row r="18" spans="3:6" x14ac:dyDescent="0.3">
      <c r="C18" s="58" t="s">
        <v>37</v>
      </c>
      <c r="D18" s="59">
        <v>45303</v>
      </c>
      <c r="E18" s="60" t="s">
        <v>38</v>
      </c>
      <c r="F18" s="68">
        <v>22.5</v>
      </c>
    </row>
    <row r="19" spans="3:6" x14ac:dyDescent="0.3">
      <c r="C19" s="58" t="s">
        <v>39</v>
      </c>
      <c r="D19" s="59">
        <v>45303</v>
      </c>
      <c r="E19" s="60" t="s">
        <v>40</v>
      </c>
      <c r="F19" s="68">
        <v>-47</v>
      </c>
    </row>
    <row r="20" spans="3:6" x14ac:dyDescent="0.3">
      <c r="C20" s="58" t="s">
        <v>37</v>
      </c>
      <c r="D20" s="59">
        <v>45303</v>
      </c>
      <c r="E20" s="60" t="s">
        <v>38</v>
      </c>
      <c r="F20" s="68">
        <v>52.500000119999996</v>
      </c>
    </row>
    <row r="21" spans="3:6" x14ac:dyDescent="0.3">
      <c r="C21" s="58" t="s">
        <v>39</v>
      </c>
      <c r="D21" s="59">
        <v>45303</v>
      </c>
      <c r="E21" s="60" t="s">
        <v>40</v>
      </c>
      <c r="F21" s="68">
        <v>-47</v>
      </c>
    </row>
    <row r="22" spans="3:6" x14ac:dyDescent="0.3">
      <c r="C22" s="58" t="s">
        <v>37</v>
      </c>
      <c r="D22" s="59">
        <v>45307</v>
      </c>
      <c r="E22" s="60" t="s">
        <v>38</v>
      </c>
      <c r="F22" s="68">
        <v>2</v>
      </c>
    </row>
    <row r="23" spans="3:6" x14ac:dyDescent="0.3">
      <c r="C23" s="58" t="s">
        <v>37</v>
      </c>
      <c r="D23" s="59">
        <v>45307</v>
      </c>
      <c r="E23" s="60" t="s">
        <v>38</v>
      </c>
      <c r="F23" s="68">
        <v>2</v>
      </c>
    </row>
    <row r="24" spans="3:6" x14ac:dyDescent="0.3">
      <c r="C24" s="58" t="s">
        <v>39</v>
      </c>
      <c r="D24" s="59">
        <v>45308</v>
      </c>
      <c r="E24" s="60" t="s">
        <v>40</v>
      </c>
      <c r="F24" s="68">
        <v>-5</v>
      </c>
    </row>
    <row r="25" spans="3:6" x14ac:dyDescent="0.3">
      <c r="C25" s="58" t="s">
        <v>39</v>
      </c>
      <c r="D25" s="59">
        <v>45308</v>
      </c>
      <c r="E25" s="60" t="s">
        <v>40</v>
      </c>
      <c r="F25" s="68">
        <v>-5</v>
      </c>
    </row>
    <row r="26" spans="3:6" x14ac:dyDescent="0.3">
      <c r="C26" s="58" t="s">
        <v>39</v>
      </c>
      <c r="D26" s="59">
        <v>45309</v>
      </c>
      <c r="E26" s="60" t="s">
        <v>40</v>
      </c>
      <c r="F26" s="68">
        <v>-81</v>
      </c>
    </row>
    <row r="27" spans="3:6" x14ac:dyDescent="0.3">
      <c r="C27" s="58" t="s">
        <v>39</v>
      </c>
      <c r="D27" s="59">
        <v>45309</v>
      </c>
      <c r="E27" s="60" t="s">
        <v>40</v>
      </c>
      <c r="F27" s="68">
        <v>-81</v>
      </c>
    </row>
    <row r="28" spans="3:6" x14ac:dyDescent="0.3">
      <c r="C28" s="58" t="s">
        <v>39</v>
      </c>
      <c r="D28" s="59">
        <v>45310</v>
      </c>
      <c r="E28" s="60" t="s">
        <v>40</v>
      </c>
      <c r="F28" s="68">
        <v>-25</v>
      </c>
    </row>
    <row r="29" spans="3:6" x14ac:dyDescent="0.3">
      <c r="C29" s="58" t="s">
        <v>39</v>
      </c>
      <c r="D29" s="59">
        <v>45310</v>
      </c>
      <c r="E29" s="60" t="s">
        <v>40</v>
      </c>
      <c r="F29" s="68">
        <v>-25</v>
      </c>
    </row>
    <row r="30" spans="3:6" x14ac:dyDescent="0.3">
      <c r="C30" s="58" t="s">
        <v>37</v>
      </c>
      <c r="D30" s="59">
        <v>45314</v>
      </c>
      <c r="E30" s="60" t="s">
        <v>38</v>
      </c>
      <c r="F30" s="68">
        <v>4.5</v>
      </c>
    </row>
    <row r="31" spans="3:6" x14ac:dyDescent="0.3">
      <c r="C31" s="58" t="s">
        <v>37</v>
      </c>
      <c r="D31" s="59">
        <v>45314</v>
      </c>
      <c r="E31" s="60" t="s">
        <v>38</v>
      </c>
      <c r="F31" s="68">
        <v>4.5000001799999998</v>
      </c>
    </row>
    <row r="32" spans="3:6" x14ac:dyDescent="0.3">
      <c r="C32" s="58" t="s">
        <v>39</v>
      </c>
      <c r="D32" s="59">
        <v>45317</v>
      </c>
      <c r="E32" s="60" t="s">
        <v>40</v>
      </c>
      <c r="F32" s="68">
        <v>-45</v>
      </c>
    </row>
    <row r="33" spans="3:6" x14ac:dyDescent="0.3">
      <c r="C33" s="58" t="s">
        <v>39</v>
      </c>
      <c r="D33" s="59">
        <v>45317</v>
      </c>
      <c r="E33" s="60" t="s">
        <v>40</v>
      </c>
      <c r="F33" s="68">
        <v>-45</v>
      </c>
    </row>
    <row r="34" spans="3:6" x14ac:dyDescent="0.3">
      <c r="C34" s="58" t="s">
        <v>37</v>
      </c>
      <c r="D34" s="59">
        <v>45321</v>
      </c>
      <c r="E34" s="60" t="s">
        <v>38</v>
      </c>
      <c r="F34" s="68">
        <v>67</v>
      </c>
    </row>
    <row r="35" spans="3:6" x14ac:dyDescent="0.3">
      <c r="C35" s="58" t="s">
        <v>37</v>
      </c>
      <c r="D35" s="59">
        <v>45321</v>
      </c>
      <c r="E35" s="60" t="s">
        <v>38</v>
      </c>
      <c r="F35" s="68">
        <v>67</v>
      </c>
    </row>
    <row r="36" spans="3:6" ht="15" thickBot="1" x14ac:dyDescent="0.35">
      <c r="C36" s="58" t="s">
        <v>37</v>
      </c>
      <c r="D36" s="59">
        <v>45322</v>
      </c>
      <c r="E36" s="60" t="s">
        <v>38</v>
      </c>
      <c r="F36" s="68">
        <v>9.9999999800000001</v>
      </c>
    </row>
    <row r="37" spans="3:6" ht="15" thickTop="1" x14ac:dyDescent="0.3">
      <c r="C37" s="49"/>
      <c r="D37" s="53">
        <v>45322</v>
      </c>
      <c r="E37" s="54" t="s">
        <v>36</v>
      </c>
      <c r="F37" s="67">
        <v>5894.1240026200003</v>
      </c>
    </row>
    <row r="38" spans="3:6" x14ac:dyDescent="0.3">
      <c r="F38" s="65">
        <f>SUBTOTAL(9,F11:F37)</f>
        <v>5990.1240029800001</v>
      </c>
    </row>
  </sheetData>
  <autoFilter ref="C8:F37" xr:uid="{D8C69ADE-02B1-4F1C-918D-C81CAFAD1A11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D433-B134-47F4-B5F9-187303671765}">
  <dimension ref="B1:O24"/>
  <sheetViews>
    <sheetView zoomScale="115" workbookViewId="0">
      <selection activeCell="M7" sqref="M7"/>
    </sheetView>
  </sheetViews>
  <sheetFormatPr baseColWidth="10" defaultRowHeight="14.4" x14ac:dyDescent="0.3"/>
  <cols>
    <col min="3" max="3" width="12" bestFit="1" customWidth="1"/>
    <col min="9" max="9" width="14.109375" customWidth="1"/>
    <col min="10" max="10" width="11.5546875" customWidth="1"/>
  </cols>
  <sheetData>
    <row r="1" spans="2:15" x14ac:dyDescent="0.3">
      <c r="K1" t="s">
        <v>61</v>
      </c>
      <c r="L1" s="3">
        <f>XIRR(I6:I19,D6:D19)</f>
        <v>0.23267748951911926</v>
      </c>
      <c r="M1">
        <f>L1+1</f>
        <v>1.2326774895191193</v>
      </c>
    </row>
    <row r="2" spans="2:15" x14ac:dyDescent="0.3">
      <c r="L2" s="3"/>
      <c r="M2">
        <v>1.05</v>
      </c>
    </row>
    <row r="3" spans="2:15" x14ac:dyDescent="0.3">
      <c r="N3">
        <f>D7-D6</f>
        <v>42</v>
      </c>
      <c r="O3">
        <f>N3/365</f>
        <v>0.11506849315068493</v>
      </c>
    </row>
    <row r="4" spans="2:15" x14ac:dyDescent="0.3">
      <c r="C4">
        <v>1</v>
      </c>
      <c r="J4">
        <v>2</v>
      </c>
    </row>
    <row r="5" spans="2:15" ht="15" thickBot="1" x14ac:dyDescent="0.35">
      <c r="B5" s="70" t="s">
        <v>49</v>
      </c>
      <c r="C5" s="70" t="s">
        <v>56</v>
      </c>
      <c r="D5" s="70" t="s">
        <v>50</v>
      </c>
      <c r="E5" s="70" t="s">
        <v>51</v>
      </c>
      <c r="F5" s="70" t="s">
        <v>52</v>
      </c>
      <c r="G5" s="70" t="s">
        <v>53</v>
      </c>
      <c r="H5" s="70" t="s">
        <v>54</v>
      </c>
      <c r="I5" s="70" t="s">
        <v>55</v>
      </c>
      <c r="J5" s="70" t="s">
        <v>48</v>
      </c>
      <c r="K5" s="70" t="s">
        <v>57</v>
      </c>
    </row>
    <row r="6" spans="2:15" x14ac:dyDescent="0.3">
      <c r="B6" t="s">
        <v>62</v>
      </c>
      <c r="D6" s="1">
        <v>45440</v>
      </c>
      <c r="I6">
        <f>-56.68</f>
        <v>-56.68</v>
      </c>
      <c r="K6" t="s">
        <v>58</v>
      </c>
    </row>
    <row r="7" spans="2:15" x14ac:dyDescent="0.3">
      <c r="B7" t="s">
        <v>62</v>
      </c>
      <c r="C7" s="64">
        <f>(D7-$D$6)/365</f>
        <v>0.11506849315068493</v>
      </c>
      <c r="D7" s="1">
        <v>45482</v>
      </c>
      <c r="E7">
        <v>100</v>
      </c>
      <c r="F7">
        <v>100</v>
      </c>
      <c r="G7">
        <v>0.375</v>
      </c>
      <c r="H7">
        <v>4</v>
      </c>
      <c r="I7">
        <v>4.375</v>
      </c>
      <c r="J7" s="62">
        <f>I7/$M$1^((D7-$D$6)/365)</f>
        <v>4.2709466477227407</v>
      </c>
      <c r="K7">
        <f>J7*C7</f>
        <v>0.49145139508042496</v>
      </c>
    </row>
    <row r="8" spans="2:15" x14ac:dyDescent="0.3">
      <c r="B8" t="s">
        <v>62</v>
      </c>
      <c r="C8" s="64">
        <f>(D8-$D$6)/365</f>
        <v>0.61917808219178083</v>
      </c>
      <c r="D8" s="1">
        <v>45666</v>
      </c>
      <c r="E8">
        <v>96</v>
      </c>
      <c r="F8">
        <v>96</v>
      </c>
      <c r="G8">
        <v>0.36</v>
      </c>
      <c r="H8">
        <v>8</v>
      </c>
      <c r="I8">
        <v>8.36</v>
      </c>
      <c r="J8" s="62">
        <f t="shared" ref="J8:J19" si="0">I8/$M$1^((D8-$D$6)/365)</f>
        <v>7.3443654654380461</v>
      </c>
      <c r="K8">
        <f>J8*C8</f>
        <v>4.5474701238054749</v>
      </c>
    </row>
    <row r="9" spans="2:15" x14ac:dyDescent="0.3">
      <c r="B9" t="s">
        <v>62</v>
      </c>
      <c r="C9" s="64">
        <f>(D9-$D$6)/365</f>
        <v>1.1150684931506849</v>
      </c>
      <c r="D9" s="1">
        <v>45847</v>
      </c>
      <c r="E9">
        <v>88</v>
      </c>
      <c r="F9">
        <v>88</v>
      </c>
      <c r="G9">
        <v>0.33</v>
      </c>
      <c r="H9">
        <v>8</v>
      </c>
      <c r="I9">
        <v>8.33</v>
      </c>
      <c r="J9" s="62">
        <f t="shared" si="0"/>
        <v>6.5969261922974134</v>
      </c>
      <c r="K9">
        <f>J9*C9</f>
        <v>7.3560245486713622</v>
      </c>
    </row>
    <row r="10" spans="2:15" x14ac:dyDescent="0.3">
      <c r="B10" t="s">
        <v>62</v>
      </c>
      <c r="C10" s="64">
        <f>(D10-$D$6)/365</f>
        <v>1.6191780821917807</v>
      </c>
      <c r="D10" s="1">
        <v>46031</v>
      </c>
      <c r="E10">
        <v>80</v>
      </c>
      <c r="F10">
        <v>80</v>
      </c>
      <c r="G10">
        <v>0.3</v>
      </c>
      <c r="H10">
        <v>8</v>
      </c>
      <c r="I10">
        <v>8.3000000000000007</v>
      </c>
      <c r="J10" s="62">
        <f t="shared" si="0"/>
        <v>5.9152980163153774</v>
      </c>
      <c r="K10">
        <f>J10*C10</f>
        <v>9.5779208976503778</v>
      </c>
    </row>
    <row r="11" spans="2:15" x14ac:dyDescent="0.3">
      <c r="B11" t="s">
        <v>62</v>
      </c>
      <c r="C11" s="64">
        <f>(D11-$D$6)/365</f>
        <v>2.1150684931506851</v>
      </c>
      <c r="D11" s="1">
        <v>46212</v>
      </c>
      <c r="E11">
        <v>72</v>
      </c>
      <c r="F11">
        <v>72</v>
      </c>
      <c r="G11">
        <v>0.27</v>
      </c>
      <c r="H11">
        <v>8</v>
      </c>
      <c r="I11">
        <v>8.27</v>
      </c>
      <c r="J11" s="62">
        <f t="shared" si="0"/>
        <v>5.3131572310270165</v>
      </c>
      <c r="K11">
        <f>J11*C11</f>
        <v>11.237691458500979</v>
      </c>
    </row>
    <row r="12" spans="2:15" x14ac:dyDescent="0.3">
      <c r="B12" t="s">
        <v>62</v>
      </c>
      <c r="C12" s="64">
        <f>(D12-$D$6)/365</f>
        <v>2.6191780821917807</v>
      </c>
      <c r="D12" s="1">
        <v>46396</v>
      </c>
      <c r="E12">
        <v>64</v>
      </c>
      <c r="F12">
        <v>64</v>
      </c>
      <c r="G12">
        <v>0.24</v>
      </c>
      <c r="H12">
        <v>8</v>
      </c>
      <c r="I12">
        <v>8.24</v>
      </c>
      <c r="J12" s="62">
        <f t="shared" si="0"/>
        <v>4.7640497013756029</v>
      </c>
      <c r="K12">
        <f>J12*C12</f>
        <v>12.477894560315278</v>
      </c>
    </row>
    <row r="13" spans="2:15" x14ac:dyDescent="0.3">
      <c r="B13" t="s">
        <v>62</v>
      </c>
      <c r="C13" s="64">
        <f>(D13-$D$6)/365</f>
        <v>3.1150684931506851</v>
      </c>
      <c r="D13" s="1">
        <v>46577</v>
      </c>
      <c r="E13">
        <v>56</v>
      </c>
      <c r="F13">
        <v>56</v>
      </c>
      <c r="G13">
        <v>0.21</v>
      </c>
      <c r="H13">
        <v>8</v>
      </c>
      <c r="I13">
        <v>8.2100000000000009</v>
      </c>
      <c r="J13" s="62">
        <f t="shared" si="0"/>
        <v>4.2789858509891232</v>
      </c>
      <c r="K13">
        <f>J13*C13</f>
        <v>13.32933400705379</v>
      </c>
    </row>
    <row r="14" spans="2:15" x14ac:dyDescent="0.3">
      <c r="B14" t="s">
        <v>62</v>
      </c>
      <c r="C14" s="64">
        <f>(D14-$D$6)/365</f>
        <v>3.6191780821917807</v>
      </c>
      <c r="D14" s="1">
        <v>46761</v>
      </c>
      <c r="E14">
        <v>48</v>
      </c>
      <c r="F14">
        <v>48</v>
      </c>
      <c r="G14">
        <v>0.42</v>
      </c>
      <c r="H14">
        <v>8</v>
      </c>
      <c r="I14">
        <v>8.42</v>
      </c>
      <c r="J14" s="62">
        <f t="shared" si="0"/>
        <v>3.9492233691631853</v>
      </c>
      <c r="K14">
        <f>J14*C14</f>
        <v>14.29294265935498</v>
      </c>
    </row>
    <row r="15" spans="2:15" x14ac:dyDescent="0.3">
      <c r="B15" t="s">
        <v>62</v>
      </c>
      <c r="C15" s="64">
        <f>(D15-$D$6)/365</f>
        <v>4.117808219178082</v>
      </c>
      <c r="D15" s="1">
        <v>46943</v>
      </c>
      <c r="E15">
        <v>40</v>
      </c>
      <c r="F15">
        <v>40</v>
      </c>
      <c r="G15">
        <v>0.35</v>
      </c>
      <c r="H15">
        <v>8</v>
      </c>
      <c r="I15">
        <v>8.35</v>
      </c>
      <c r="J15" s="62">
        <f t="shared" si="0"/>
        <v>3.5284648949306701</v>
      </c>
      <c r="K15">
        <f>J15*C15</f>
        <v>14.52954174542684</v>
      </c>
    </row>
    <row r="16" spans="2:15" x14ac:dyDescent="0.3">
      <c r="B16" t="s">
        <v>62</v>
      </c>
      <c r="C16" s="64">
        <f>(D16-$D$6)/365</f>
        <v>4.6219178082191785</v>
      </c>
      <c r="D16" s="1">
        <v>47127</v>
      </c>
      <c r="E16">
        <v>32</v>
      </c>
      <c r="F16">
        <v>32</v>
      </c>
      <c r="G16">
        <v>0.28000000000000003</v>
      </c>
      <c r="H16">
        <v>8</v>
      </c>
      <c r="I16">
        <v>8.2799999999999994</v>
      </c>
      <c r="J16" s="62">
        <f t="shared" si="0"/>
        <v>3.1487021136375719</v>
      </c>
      <c r="K16">
        <f>J16*C16</f>
        <v>14.553042371798862</v>
      </c>
    </row>
    <row r="17" spans="2:11" x14ac:dyDescent="0.3">
      <c r="B17" t="s">
        <v>62</v>
      </c>
      <c r="C17" s="64">
        <f>(D17-$D$6)/365</f>
        <v>5.117808219178082</v>
      </c>
      <c r="D17" s="1">
        <v>47308</v>
      </c>
      <c r="E17">
        <v>24</v>
      </c>
      <c r="F17">
        <v>24</v>
      </c>
      <c r="G17">
        <v>0.21</v>
      </c>
      <c r="H17">
        <v>8</v>
      </c>
      <c r="I17">
        <v>8.2100000000000009</v>
      </c>
      <c r="J17" s="62">
        <f t="shared" si="0"/>
        <v>2.8144466285582586</v>
      </c>
      <c r="K17">
        <f>J17*C17</f>
        <v>14.403798088073499</v>
      </c>
    </row>
    <row r="18" spans="2:11" x14ac:dyDescent="0.3">
      <c r="B18" t="s">
        <v>62</v>
      </c>
      <c r="C18" s="64">
        <f>(D18-$D$6)/365</f>
        <v>5.6219178082191785</v>
      </c>
      <c r="D18" s="1">
        <v>47492</v>
      </c>
      <c r="E18">
        <v>16</v>
      </c>
      <c r="F18">
        <v>16</v>
      </c>
      <c r="G18">
        <v>0.14000000000000001</v>
      </c>
      <c r="H18">
        <v>8</v>
      </c>
      <c r="I18">
        <v>8.14</v>
      </c>
      <c r="J18" s="62">
        <f t="shared" si="0"/>
        <v>2.51117037126915</v>
      </c>
      <c r="K18">
        <f>J18*C18</f>
        <v>14.1175934297104</v>
      </c>
    </row>
    <row r="19" spans="2:11" x14ac:dyDescent="0.3">
      <c r="B19" t="s">
        <v>62</v>
      </c>
      <c r="C19" s="64">
        <f>(D19-$D$6)/365</f>
        <v>6.117808219178082</v>
      </c>
      <c r="D19" s="1">
        <v>47673</v>
      </c>
      <c r="E19">
        <v>8</v>
      </c>
      <c r="F19">
        <v>8</v>
      </c>
      <c r="G19">
        <v>7.0000000000000007E-2</v>
      </c>
      <c r="H19">
        <v>8</v>
      </c>
      <c r="I19">
        <v>8.07</v>
      </c>
      <c r="J19" s="62">
        <f t="shared" si="0"/>
        <v>2.2442639314207899</v>
      </c>
      <c r="K19">
        <f>J19*C19</f>
        <v>13.729976325651025</v>
      </c>
    </row>
    <row r="20" spans="2:11" x14ac:dyDescent="0.3">
      <c r="I20">
        <f>SUM(I7:I19)</f>
        <v>103.55500000000001</v>
      </c>
      <c r="J20" s="62">
        <f>SUM(J7:J19)</f>
        <v>56.680000414144942</v>
      </c>
      <c r="K20">
        <f>SUM(K7:K19)</f>
        <v>144.64468161109329</v>
      </c>
    </row>
    <row r="21" spans="2:11" x14ac:dyDescent="0.3">
      <c r="J21" t="s">
        <v>60</v>
      </c>
      <c r="K21">
        <f>K20/J20</f>
        <v>2.5519527267857263</v>
      </c>
    </row>
    <row r="22" spans="2:11" x14ac:dyDescent="0.3">
      <c r="C22" s="64"/>
      <c r="J22" t="s">
        <v>59</v>
      </c>
      <c r="K22" s="10">
        <f>K21/(1+(0.24013698/2))</f>
        <v>2.2783898927339044</v>
      </c>
    </row>
    <row r="23" spans="2:11" x14ac:dyDescent="0.3">
      <c r="E23" s="1"/>
      <c r="I23" s="40"/>
      <c r="K23">
        <f>SUM(K7:K20)</f>
        <v>289.28936322218658</v>
      </c>
    </row>
    <row r="24" spans="2:11" x14ac:dyDescent="0.3">
      <c r="E2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tir 1</vt:lpstr>
      <vt:lpstr>tir 2</vt:lpstr>
      <vt:lpstr>lecap</vt:lpstr>
      <vt:lpstr>Fuentes de Ganancia</vt:lpstr>
      <vt:lpstr>Rendimiento de una cartera</vt:lpstr>
      <vt:lpstr>Duración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Angel</dc:creator>
  <cp:lastModifiedBy>Gisel Angel</cp:lastModifiedBy>
  <dcterms:created xsi:type="dcterms:W3CDTF">2024-05-22T20:45:13Z</dcterms:created>
  <dcterms:modified xsi:type="dcterms:W3CDTF">2024-06-05T13:46:26Z</dcterms:modified>
</cp:coreProperties>
</file>